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600" windowHeight="11040" activeTab="4"/>
  </bookViews>
  <sheets>
    <sheet name="FAQ" sheetId="1" r:id="rId1"/>
    <sheet name="Basic Details" sheetId="2" r:id="rId2"/>
    <sheet name="Result NAAC" sheetId="3" r:id="rId3"/>
    <sheet name="Result KeyFactorwise NAAC" sheetId="4" r:id="rId4"/>
    <sheet name="Input" sheetId="5" r:id="rId5"/>
    <sheet name="Result KeyFactorwise" sheetId="6" r:id="rId6"/>
    <sheet name="Result" sheetId="7" r:id="rId7"/>
    <sheet name="supporting documents print" sheetId="8" r:id="rId8"/>
    <sheet name="Input (2)" sheetId="9" state="hidden" r:id="rId9"/>
  </sheets>
  <definedNames>
    <definedName name="_xlnm.Print_Area" localSheetId="1">'Basic Details'!$H$1:$I$1</definedName>
    <definedName name="_xlnm.Print_Area" localSheetId="4">'Input'!$A$1:$AE$143</definedName>
    <definedName name="_xlnm.Print_Area" localSheetId="8">'Input (2)'!$A$1:$H$137</definedName>
    <definedName name="_xlnm.Print_Area" localSheetId="6">'Result'!$B$1:$E$12</definedName>
    <definedName name="_xlnm.Print_Area" localSheetId="5">'Result KeyFactorwise'!$A$1:$E$21</definedName>
    <definedName name="_xlnm.Print_Area" localSheetId="3">'Result KeyFactorwise NAAC'!$A$1:$J$30</definedName>
    <definedName name="_xlnm.Print_Area" localSheetId="2">'Result NAAC'!$B$1:$I$19</definedName>
    <definedName name="_xlnm.Print_Area" localSheetId="7">'supporting documents print'!$A$5:$AZ$137</definedName>
    <definedName name="_xlnm.Print_Titles" localSheetId="4">'Input'!$A:$J,'Input'!$1:$6</definedName>
    <definedName name="_xlnm.Print_Titles" localSheetId="8">'Input (2)'!$A:$H,'Input (2)'!$1:$6</definedName>
    <definedName name="_xlnm.Print_Titles" localSheetId="7">'supporting documents print'!$A:$J,'supporting documents print'!$1:$6</definedName>
  </definedNames>
  <calcPr fullCalcOnLoad="1"/>
</workbook>
</file>

<file path=xl/sharedStrings.xml><?xml version="1.0" encoding="utf-8"?>
<sst xmlns="http://schemas.openxmlformats.org/spreadsheetml/2006/main" count="1921" uniqueCount="502">
  <si>
    <t>Crteria</t>
  </si>
  <si>
    <t>Key Indicators</t>
  </si>
  <si>
    <t>S. No.</t>
  </si>
  <si>
    <t>Parameters</t>
  </si>
  <si>
    <t>Weightage</t>
  </si>
  <si>
    <t>Credits</t>
  </si>
  <si>
    <t>A. Teaching and Learning</t>
  </si>
  <si>
    <t>A-1 Student Strength</t>
  </si>
  <si>
    <t>A-2 Inclusivity</t>
  </si>
  <si>
    <t>A-3 Choices</t>
  </si>
  <si>
    <t>A-4 Faculty-Portrayal</t>
  </si>
  <si>
    <t>A-5 Student performance and learning outcomes</t>
  </si>
  <si>
    <t>B. Research and Professional Practices</t>
  </si>
  <si>
    <t>B-1 Research Output</t>
  </si>
  <si>
    <t>B-2 Academic Enrichment</t>
  </si>
  <si>
    <t>C. Infrastructure and Learning Resources</t>
  </si>
  <si>
    <t>C-1 Physical Assets</t>
  </si>
  <si>
    <t>C-2 Office Setup</t>
  </si>
  <si>
    <t>D. Student Support and participation</t>
  </si>
  <si>
    <t>D-1 Learning Support</t>
  </si>
  <si>
    <t>D-2 Counseling and Mentoring</t>
  </si>
  <si>
    <t>E. Financial Resources and Utilisation</t>
  </si>
  <si>
    <t>E-1 Financial Management</t>
  </si>
  <si>
    <t>E-2 Self Financing Efforts</t>
  </si>
  <si>
    <t>F. Commitment, Leadership and Management</t>
  </si>
  <si>
    <t>F-1 Societal Footprint</t>
  </si>
  <si>
    <t>F-2 Innovatin, Values and Best practices</t>
  </si>
  <si>
    <t>F-3 Effective Implementatin of Govt. Schemes</t>
  </si>
  <si>
    <t>F-4 Strengthening the bond</t>
  </si>
  <si>
    <t>Actual Student Strength as percentage of Sanctioned Strength</t>
  </si>
  <si>
    <t>No. of Applications received as the ratio of Sanctioned seats in UG Part-I and PG (Prev. )</t>
  </si>
  <si>
    <t>Percentage of SC</t>
  </si>
  <si>
    <t>Percentage of ST</t>
  </si>
  <si>
    <t>Percentage of OBC</t>
  </si>
  <si>
    <t>Percentage of MBC</t>
  </si>
  <si>
    <t>Percentage of EWS</t>
  </si>
  <si>
    <t>Percentage of Minorities</t>
  </si>
  <si>
    <t>Percentage of Students from other districts</t>
  </si>
  <si>
    <t>Percentage of BPL Students</t>
  </si>
  <si>
    <t>Percentage of students with Special abilities</t>
  </si>
  <si>
    <t>No. of Faculties (Arts, Science, Commerce etc.)</t>
  </si>
  <si>
    <t>No. of Subjects offered at UG Courses</t>
  </si>
  <si>
    <t>No. of PG Courses offered</t>
  </si>
  <si>
    <t>No. of Vocational / skill Courses offered</t>
  </si>
  <si>
    <t>Percentage of students enrolled in vocational courses</t>
  </si>
  <si>
    <t>Percentage of Students enrolled in Skill Development Courses (RSLDC and Other agencies)</t>
  </si>
  <si>
    <t>Working faculty (including work arrangement, guest faculty, adhoc) as percentage of sanctioned posts</t>
  </si>
  <si>
    <t>Percentage of filled posts (regular appointments) against sanctioned posts</t>
  </si>
  <si>
    <t>Percentage of working faculty members having Ph.D Degree</t>
  </si>
  <si>
    <t>Percentage of working faculty members having M.Phil. Degree (other than Ph.D)</t>
  </si>
  <si>
    <t>Percentage of working faculty members awarded PDF/D.Litt</t>
  </si>
  <si>
    <t>Student-Teacher ratio as per sanctioned posts</t>
  </si>
  <si>
    <t>Student-Teacher ratio as per working teachers</t>
  </si>
  <si>
    <t>Target of content-wise teaching achieved in percentage</t>
  </si>
  <si>
    <t>Percentage of faculty members contributed to devlopment of E-content (which is being utilised in more than one institute)</t>
  </si>
  <si>
    <t>Pass percentage in last University result</t>
  </si>
  <si>
    <t>Percentage of Students scored 60% and above in University result</t>
  </si>
  <si>
    <t>Percentage of Students scored 75% and above in University result</t>
  </si>
  <si>
    <t>Percentage of faculty members having 5 and more research papers published during last 3 years</t>
  </si>
  <si>
    <t>Percentage of faculty members authored/co-authored at least one book</t>
  </si>
  <si>
    <t>Percentage of faculty members recognized as research supervisor</t>
  </si>
  <si>
    <t>Percentage of faculty members under whom at least one scholar is awarded Ph.D.</t>
  </si>
  <si>
    <t>Percentage of faculty members presented at least 2 papers in international seminars / conferences during last 3 years</t>
  </si>
  <si>
    <t>Percentage faculty members presented at least 3 papers in national seminars / conferences during last 3 years</t>
  </si>
  <si>
    <t>No. of International/National seminars / conferences/workshops organized in last 5 years</t>
  </si>
  <si>
    <t>No. of faculty members who have acted as convener / Organizing secretary in national seminar / conferences in last 5 years</t>
  </si>
  <si>
    <t>Percentage of faculty members who have been awarded Research Projects from  UGC, ICSSR and other research funding agency</t>
  </si>
  <si>
    <t>No. of faculty members, who are associated with any foreign agency for research / referee assignments</t>
  </si>
  <si>
    <t>Percentage of faculty members associated with academic associations</t>
  </si>
  <si>
    <t>Percentage of faculty members who have attended international level academic events / programmes outside India (In last 5 years)</t>
  </si>
  <si>
    <t>Number of IPRs (Patents, Copyrights, Trade marks etc.) if any, in the name of faculty member of the college</t>
  </si>
  <si>
    <t>Whether the college has its own building</t>
  </si>
  <si>
    <t>Ratio of total students to No. of classrooms in the college</t>
  </si>
  <si>
    <t>Ratio of students in practical subjects to the number of labs</t>
  </si>
  <si>
    <t>Ratio of student furniture to the total number of class rooms</t>
  </si>
  <si>
    <t>Percentage of class rooms / labs equipped with working fans and tube lights / bulbs</t>
  </si>
  <si>
    <t>Ratio of number of boys students to the No. of toilets</t>
  </si>
  <si>
    <t>Ratio of number of girls students to the No. of toilets</t>
  </si>
  <si>
    <t>Girls common room facility</t>
  </si>
  <si>
    <t>Availability of Staff room</t>
  </si>
  <si>
    <t>Department rooms in percentage to No. of subjects being taught in the college</t>
  </si>
  <si>
    <t>Ratio of number of faculty members to the No. of toilets</t>
  </si>
  <si>
    <t>No. of computers in ICT labs</t>
  </si>
  <si>
    <t>Availability of seminar / conference room in the college</t>
  </si>
  <si>
    <t>Availability of Safe/Clean drinking water with functional RO system</t>
  </si>
  <si>
    <t>Water harvesting system/ provision in the college</t>
  </si>
  <si>
    <t>Availibility of Language Lab</t>
  </si>
  <si>
    <t>Whether the campus is Wi-Fi enabled</t>
  </si>
  <si>
    <t>No. of smart classrooms</t>
  </si>
  <si>
    <t>Ramp and other facilities for physically challenged students</t>
  </si>
  <si>
    <t>Percentage of capacity of power generation through Generator / inverter/Solar panel to total electricity requirement of the college</t>
  </si>
  <si>
    <t>Availability of Audio / video system in the college (Mic, TV, Projector, Laptops etc.)</t>
  </si>
  <si>
    <t>Percentage of working Ministerial staff to no. of sanctioned posts (including Lab asstts.)</t>
  </si>
  <si>
    <t>Percentage of working supporting staff to no. of sanctioned posts (including Lab bearers, gas man etc..)</t>
  </si>
  <si>
    <t>Working accounts personnel</t>
  </si>
  <si>
    <t>Library facility</t>
  </si>
  <si>
    <t>Working Librarian</t>
  </si>
  <si>
    <t>Whether library is automated</t>
  </si>
  <si>
    <t>Percentage of working Library staff against sanctioned posts</t>
  </si>
  <si>
    <t>Ratio of total books in library to total No. of students</t>
  </si>
  <si>
    <t>No. of Reading Rooms</t>
  </si>
  <si>
    <t>No. of copies of News papers subscribed per 100 students</t>
  </si>
  <si>
    <t>Subscription of employment News paper</t>
  </si>
  <si>
    <t>No. of magazines subscribed</t>
  </si>
  <si>
    <t>Number of journals subscribed per subject</t>
  </si>
  <si>
    <t>Percentage of Students guided through Counselling cell</t>
  </si>
  <si>
    <t>Sports Ground</t>
  </si>
  <si>
    <t>Working Director Physical Education</t>
  </si>
  <si>
    <t>No. of games for which complete set of equipments and gears available</t>
  </si>
  <si>
    <t>Total No. of students benefited by issuing of sports equipments and gears</t>
  </si>
  <si>
    <t>Anti ragging cell</t>
  </si>
  <si>
    <t>Women cell</t>
  </si>
  <si>
    <t>Sexual harassment complaint cell</t>
  </si>
  <si>
    <t>Total No. of Extra-curricular activities organised</t>
  </si>
  <si>
    <t>Is Remedial coaching facility being provided</t>
  </si>
  <si>
    <t>Percentage of Students utilising IT / ICT lab. Facility to total No. of students</t>
  </si>
  <si>
    <t>NSS units in the college</t>
  </si>
  <si>
    <t>Rover/ Ranger unit</t>
  </si>
  <si>
    <t>NCC unit in the college</t>
  </si>
  <si>
    <t>Employment/ job vacancy display board for students</t>
  </si>
  <si>
    <t>First-Aid kit available</t>
  </si>
  <si>
    <t>Functional Fire Extinguishers available</t>
  </si>
  <si>
    <t>Students suggestion / feedback box available</t>
  </si>
  <si>
    <t>Canteen facility available</t>
  </si>
  <si>
    <t>Hostel facility available</t>
  </si>
  <si>
    <t>Percentage of total grants utilized in last 3 years</t>
  </si>
  <si>
    <t>Average annual per capita capital expenditure</t>
  </si>
  <si>
    <t>Average annual per capita operational expenditure</t>
  </si>
  <si>
    <t>No. of Internal/ CA Audits undertaken during last 3 years</t>
  </si>
  <si>
    <t>Funds received from sources other than state or central govt (last 03 years)</t>
  </si>
  <si>
    <t>Progress made under Green campus initiative (No. Of activities)</t>
  </si>
  <si>
    <t>No. of efforts undertaken for creating national integration and Community awareness among students</t>
  </si>
  <si>
    <t>No. of Institutional/ Corporate Collaborative activities undertaken</t>
  </si>
  <si>
    <t>No. of initiatives undertaken for Students welfare</t>
  </si>
  <si>
    <t>Faculty Development Initiatives</t>
  </si>
  <si>
    <t>No. Of Books collected under Community Book Bank scheme</t>
  </si>
  <si>
    <t>Participation of college in District level campaigning/ activities organized by district administration</t>
  </si>
  <si>
    <t>Any other best/ unique performance/ activity/ social contribution</t>
  </si>
  <si>
    <t>Percentage of students participating in Inter House sport activities</t>
  </si>
  <si>
    <t>Is there any formal mechanism for Student feedback in place ?</t>
  </si>
  <si>
    <t>Whether the college has functional solar power generating system</t>
  </si>
  <si>
    <t>Percentage of students placed through Employment fairs organised by the college</t>
  </si>
  <si>
    <t>Percentage of students who received GK Books</t>
  </si>
  <si>
    <t>Percentage of students who received English Grammar Books</t>
  </si>
  <si>
    <t>Classes organized under Pratiyogita Dakshta Programme [{(Actual No. of Classes)/ (4*No. of days)}*100 ]</t>
  </si>
  <si>
    <t>Percentage of Students who appeared in State Level GK Competition</t>
  </si>
  <si>
    <t>No. of trees planted</t>
  </si>
  <si>
    <t>Average Percentage of Students who turned up for Monthly Test</t>
  </si>
  <si>
    <t>No. of Interactive sessions organised for students with motivational mentors/ excellent performers</t>
  </si>
  <si>
    <t>No. of Students- Principal interactions</t>
  </si>
  <si>
    <t>No. of Student- Teacher meetings other than class teaching</t>
  </si>
  <si>
    <t>No. of Staff Council and Development committee meetings held</t>
  </si>
  <si>
    <t>No. of Parents- Teacher meetings</t>
  </si>
  <si>
    <t>No. of Alumni meetings held (last two years)</t>
  </si>
  <si>
    <t>Percentage or Ratio points</t>
  </si>
  <si>
    <t>Weighted Credits</t>
  </si>
  <si>
    <t>Percentage of Girls in case of  (b) Girls College</t>
  </si>
  <si>
    <t>Percentage of Girls in case of (a) Co Ed. College</t>
  </si>
  <si>
    <t>TOTAL</t>
  </si>
  <si>
    <t>Average</t>
  </si>
  <si>
    <t>Performance Criteria</t>
  </si>
  <si>
    <t>Session : 2019-20</t>
  </si>
  <si>
    <t>Actual Weighted Credits</t>
  </si>
  <si>
    <t>Assessment Matrix for Annual Auditing Programe</t>
  </si>
  <si>
    <t>Input Values</t>
  </si>
  <si>
    <t>A</t>
  </si>
  <si>
    <t>B</t>
  </si>
  <si>
    <t>C</t>
  </si>
  <si>
    <t>D</t>
  </si>
  <si>
    <t>E</t>
  </si>
  <si>
    <t>F</t>
  </si>
  <si>
    <t>Delete Input Values</t>
  </si>
  <si>
    <t>PRADEEP MODI</t>
  </si>
  <si>
    <t>Key Factors Criteria</t>
  </si>
  <si>
    <t>No. of events at Inter-college / University / National and International level in which college participated</t>
  </si>
  <si>
    <t>No. of prizes won by college at Inter-college / University  /National and International sports/ games</t>
  </si>
  <si>
    <t>Entrepreneurship / Skill Development promotional cell in the college</t>
  </si>
  <si>
    <t>Weights</t>
  </si>
  <si>
    <t>Criteria-wise Grade Points</t>
  </si>
  <si>
    <t>Criteria-wise Grade Points Averages</t>
  </si>
  <si>
    <t>A++</t>
  </si>
  <si>
    <t>A+</t>
  </si>
  <si>
    <t>B++</t>
  </si>
  <si>
    <t>B+</t>
  </si>
  <si>
    <t>Maximum Weighted Credits</t>
  </si>
  <si>
    <t>A. Teaching  and  Learning</t>
  </si>
  <si>
    <t>Percentage of Actual with Maximum</t>
  </si>
  <si>
    <t>Crietria-wise Grade</t>
  </si>
  <si>
    <t>Implementation of Scholarships / Incentive schemes (distributional efficacy)</t>
  </si>
  <si>
    <t xml:space="preserve">Delete Input Values Key Factor </t>
  </si>
  <si>
    <t>Delete Input Values Performance Criteria</t>
  </si>
  <si>
    <t>Detailed Report</t>
  </si>
  <si>
    <t>Crtieria</t>
  </si>
  <si>
    <t>pradeepjimodi@gmail.com</t>
  </si>
  <si>
    <t>Error Message</t>
  </si>
  <si>
    <t>Proof Available ?</t>
  </si>
  <si>
    <t>Range of institutional CGPA</t>
  </si>
  <si>
    <t>Letter Grade</t>
  </si>
  <si>
    <t>Performance Descriptor</t>
  </si>
  <si>
    <t>3.51 – 4.00</t>
  </si>
  <si>
    <t>Accredited</t>
  </si>
  <si>
    <t>3.26 – 3.50</t>
  </si>
  <si>
    <t>3.01 – 3.25</t>
  </si>
  <si>
    <t>2.76 – 3.00</t>
  </si>
  <si>
    <t>2.51 – 2.75</t>
  </si>
  <si>
    <t>2.01 – 2.50</t>
  </si>
  <si>
    <t>1.51 – 2.00</t>
  </si>
  <si>
    <t>≤ 1.50</t>
  </si>
  <si>
    <t>Not Accredited</t>
  </si>
  <si>
    <t>Team Verification</t>
  </si>
  <si>
    <t>Verification Team Code :</t>
  </si>
  <si>
    <t>From College Admission Nodal login</t>
  </si>
  <si>
    <t>Supporting Documents/Proofs</t>
  </si>
  <si>
    <t>From nodal (Admission login)</t>
  </si>
  <si>
    <t>Check from IGNOU / VMOU / Spoken Tutotrial Centre, whichever is applicable</t>
  </si>
  <si>
    <t>Registration records of students enrolled in IGNOU/VMOU skill courses</t>
  </si>
  <si>
    <t>College Statistical booklet/AISHE DCF / Online data verified from nodal login</t>
  </si>
  <si>
    <t>List of enrolled Students / Attendance Register</t>
  </si>
  <si>
    <t>Certificate from Personal File / Copy Provided</t>
  </si>
  <si>
    <t>College Statistical booklet / AISHE DCF / Online data verified from nodal login</t>
  </si>
  <si>
    <t>-</t>
  </si>
  <si>
    <t>Supporting Documents Number</t>
  </si>
  <si>
    <t>Supporting Document Number</t>
  </si>
  <si>
    <t>:</t>
  </si>
  <si>
    <t>City of College</t>
  </si>
  <si>
    <t>Full Name of College</t>
  </si>
  <si>
    <t>Name of Principal</t>
  </si>
  <si>
    <t>Mobile Number of Principal</t>
  </si>
  <si>
    <t>Sequence Number of College</t>
  </si>
  <si>
    <t>Name of Nodal</t>
  </si>
  <si>
    <t>Mobile Number of Nodal</t>
  </si>
  <si>
    <t>e-mail ID of College</t>
  </si>
  <si>
    <t>Phase of Inspection</t>
  </si>
  <si>
    <t>College Name</t>
  </si>
  <si>
    <t>College City</t>
  </si>
  <si>
    <t>Mobile Number :</t>
  </si>
  <si>
    <t>First Date of Inspection</t>
  </si>
  <si>
    <t>Second Date of Inspection</t>
  </si>
  <si>
    <t>Name of Team Leader</t>
  </si>
  <si>
    <t>Name of Co-in-Charge</t>
  </si>
  <si>
    <t>Name of Member</t>
  </si>
  <si>
    <t xml:space="preserve"> -:College Details :-</t>
  </si>
  <si>
    <t>-: Inspection Details :-</t>
  </si>
  <si>
    <t>This AAP xls File must be saved as :-</t>
  </si>
  <si>
    <t>Team Leader</t>
  </si>
  <si>
    <t>Member</t>
  </si>
  <si>
    <t>Assessment Matrix for Annual Auditing Programe : Final Report</t>
  </si>
  <si>
    <t>Co    Incharge</t>
  </si>
  <si>
    <t>Despatch No. and Date :</t>
  </si>
  <si>
    <t>Co-in-charge</t>
  </si>
  <si>
    <t>Co-in-Charge</t>
  </si>
  <si>
    <t>From AISHE DSF / From nodal (Admission login)</t>
  </si>
  <si>
    <t>Attendance Register / AISHE DCF</t>
  </si>
  <si>
    <t>AISHE DCF AND M.Phil. Certificate</t>
  </si>
  <si>
    <t>AISHE DCF AND Ph. D. Certificate</t>
  </si>
  <si>
    <t xml:space="preserve">College Statistical booklet/AISHE DCF </t>
  </si>
  <si>
    <t>Self Declaration by concerned faculty and if feasible then to be verified from students.</t>
  </si>
  <si>
    <t>CCE Orders AND Recordings / YouTube channel</t>
  </si>
  <si>
    <t>To be calculated from TR AND to be randomly verified by team</t>
  </si>
  <si>
    <t>Copies of all publications. (Make a separate file with list)</t>
  </si>
  <si>
    <t>Copies of all books published (Make a separate file with list)</t>
  </si>
  <si>
    <t>Copies of research guide registration letter (Make a list)</t>
  </si>
  <si>
    <t>Copies of registeration letter of scholer (Make a list of such scholars)</t>
  </si>
  <si>
    <t>Copies of brochurs, photographs and proceedings of conference (Make a list of such events)</t>
  </si>
  <si>
    <t>Copies of certificate of presentation (Make a list of such staff members)</t>
  </si>
  <si>
    <t>Copies of brochurs, photographs and certificates (Make a list of such staff members)</t>
  </si>
  <si>
    <t>Copies of Award letter (Make a list of such staff members)</t>
  </si>
  <si>
    <t>Copies of documents issued by agency (Make a list of such staff members)</t>
  </si>
  <si>
    <t>Copies of certificates issued by Academic Association (Make a list of such staff members)</t>
  </si>
  <si>
    <t>Copies of participation certificates (Make a list of such staff members)</t>
  </si>
  <si>
    <t>Copies of documentary proof of IPR (Make a list of such staff members)</t>
  </si>
  <si>
    <t>Attendance Register</t>
  </si>
  <si>
    <t>Latest and few earlier editions to be verified physically by Peer Team</t>
  </si>
  <si>
    <t>To be verified physically by Peer Team</t>
  </si>
  <si>
    <t>Classwise list of Students with practical subjects AND Labs to be verified physically by Peer Team</t>
  </si>
  <si>
    <t>To be verified from stock register AND to be verified physically randomly by Peer Team</t>
  </si>
  <si>
    <t>Number and functional status to be verified physically by Peer Team</t>
  </si>
  <si>
    <t>Installed ROs  to be verified physically by Peer Team AND if possible get TDS done.</t>
  </si>
  <si>
    <t>Water storage Tanks AND their cleanlinss to be verified physically by Peer Team</t>
  </si>
  <si>
    <t>Lab AND consoles AND Mike to be verified physically by Peer Team</t>
  </si>
  <si>
    <t>To be verified by Peer Team by connecting through college wi-fi network</t>
  </si>
  <si>
    <t>Installed set up and its functionality to be verified physically by Peer Team</t>
  </si>
  <si>
    <t>Toilets, drinking water facilities and RAMPS to be verified physically by Peer Team</t>
  </si>
  <si>
    <t>Documentary proof of total electricity load AND its generation in institute AND to be verified physically by Peer Team</t>
  </si>
  <si>
    <t>Bar-coding, issuing of books using the software to be verified physically by Peer Team</t>
  </si>
  <si>
    <t>Required furniture and display stands to be verified physically by Peer Team</t>
  </si>
  <si>
    <t>Number of copies of last 2 months to be verified physically by Peer Team</t>
  </si>
  <si>
    <t>Register / Relevant document for number of students guided along with field</t>
  </si>
  <si>
    <t>Gears and equipments randomly to be verified physically by Peer Team</t>
  </si>
  <si>
    <t>Issue register</t>
  </si>
  <si>
    <t>Copies of documentary proof (Make a list of such events)</t>
  </si>
  <si>
    <t>Copies of documentary proof / Certificates (Make a list of such events)</t>
  </si>
  <si>
    <t>College orders to this effect</t>
  </si>
  <si>
    <t>College orders to this effect AND Copies of documents / photographs / reports</t>
  </si>
  <si>
    <t>Copies of news / photographs / reports of events (Make a list of such events with name, purpose and documents)</t>
  </si>
  <si>
    <t>Time table and attendance register of such registered students</t>
  </si>
  <si>
    <t>Entries in the entry-register for availing the facility</t>
  </si>
  <si>
    <t>College orders to this effect AND Copies of documents / photographs / reports of activities</t>
  </si>
  <si>
    <t>Visit units and see activity documents</t>
  </si>
  <si>
    <t>Display boards and latest job vacancies to be verified physically by Peer Team</t>
  </si>
  <si>
    <t>Basic first aid material to be verified physically by Peer Team</t>
  </si>
  <si>
    <t>Installation and date of refill to be verified physically by Peer Team</t>
  </si>
  <si>
    <t>Installed boxes, register showing date of opening and suggestions received and  decision taken to be verified physically by Peer Team</t>
  </si>
  <si>
    <t>Functionality to be verified physically by Peer Team</t>
  </si>
  <si>
    <t>Copies of sanction order and Utilisation / Expenditure certificates / documents</t>
  </si>
  <si>
    <t>Copies of audit reports</t>
  </si>
  <si>
    <t xml:space="preserve">Copies of such grant / gift sanctioned orders / letter </t>
  </si>
  <si>
    <t>Copies of news / photographs / reports of activities (Make a list of such events)</t>
  </si>
  <si>
    <t xml:space="preserve">Copies of formal letter / MOU for collaboration (Make a list of such events) </t>
  </si>
  <si>
    <t>Copes of certificates / news / photographs (Make a list of such activities with date and institution name etc.)</t>
  </si>
  <si>
    <t>Collection of books register AND issue of books register to be verified physically by Peer Team</t>
  </si>
  <si>
    <t>Copies of formal letter / news / photographs / reports of activities (Make a list of such events)</t>
  </si>
  <si>
    <t>Copies of news / photographs / reports of events (Make a list of such students who participated with events)</t>
  </si>
  <si>
    <t>Copes of details of feedback system with followup</t>
  </si>
  <si>
    <t>Functionally to be verified physically by Peer Team</t>
  </si>
  <si>
    <t>Copies of varifiable documents for various types of scholarships being disbrused by institute.</t>
  </si>
  <si>
    <t>Copies of orders / news / photographs / reports AND list of students who have been placed through such fairs</t>
  </si>
  <si>
    <t xml:space="preserve">Copies of signed lists of benefitted students </t>
  </si>
  <si>
    <t>Copies of Complete list of classes organised AND time table AND attendance sheet</t>
  </si>
  <si>
    <t xml:space="preserve">Copy of PDP Spreadsheet </t>
  </si>
  <si>
    <t>Number of trees planted as given in spreadsheet to be verified physically by Peer Team</t>
  </si>
  <si>
    <t>Copies of meeting notices / news / photographs / reports  of events (Make a list such events)</t>
  </si>
  <si>
    <t>Copies of meeting notices / news / photographs / reports / minutes of events (Make a list such events)</t>
  </si>
  <si>
    <r>
      <t xml:space="preserve">AAP </t>
    </r>
    <r>
      <rPr>
        <b/>
        <u val="single"/>
        <sz val="20"/>
        <color indexed="8"/>
        <rFont val="Krishna Condensed"/>
        <family val="0"/>
      </rPr>
      <t>ds ifj.kke x.kuk gsrq cuk;s x;s dEI;wVj izksxzke ds mi;ksx djus ls lacaf/kr lkekU; iz'u</t>
    </r>
  </si>
  <si>
    <t>iz&amp;1</t>
  </si>
  <si>
    <r>
      <t>XLS</t>
    </r>
    <r>
      <rPr>
        <i/>
        <sz val="20"/>
        <color indexed="10"/>
        <rFont val="Krishna"/>
        <family val="0"/>
      </rPr>
      <t xml:space="preserve"> QkbZy dks [kksyus ds mijkar igyk dk;Z D;k djuk pkfg;s \</t>
    </r>
  </si>
  <si>
    <t>m&amp;1</t>
  </si>
  <si>
    <t>iz&amp;2</t>
  </si>
  <si>
    <r>
      <t>Input Worksheet</t>
    </r>
    <r>
      <rPr>
        <i/>
        <sz val="20"/>
        <color indexed="10"/>
        <rFont val="Krishna"/>
        <family val="0"/>
      </rPr>
      <t xml:space="preserve"> D;k gS \</t>
    </r>
  </si>
  <si>
    <t>m&amp;2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</si>
  <si>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esa egkfo|ky; Lrj ij ,df=r fofHkUu lwpukvksa dks </t>
    </r>
    <r>
      <rPr>
        <sz val="20"/>
        <color indexed="8"/>
        <rFont val="Times New Roman"/>
        <family val="1"/>
      </rPr>
      <t>Input</t>
    </r>
    <r>
      <rPr>
        <sz val="20"/>
        <color indexed="8"/>
        <rFont val="Krishna"/>
        <family val="0"/>
      </rPr>
      <t xml:space="preserve"> fd;k tkrk gS A </t>
    </r>
  </si>
  <si>
    <t>iz&amp;3</t>
  </si>
  <si>
    <r>
      <t>Result NAAC Worksheet</t>
    </r>
    <r>
      <rPr>
        <i/>
        <sz val="20"/>
        <color indexed="10"/>
        <rFont val="Krishna"/>
        <family val="0"/>
      </rPr>
      <t xml:space="preserve"> esa D;k gS \</t>
    </r>
  </si>
  <si>
    <t>m&amp;3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</si>
  <si>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}kjk egkfo|ky; }kjk fofHkUu lwpukvksa ds </t>
    </r>
    <r>
      <rPr>
        <sz val="20"/>
        <color indexed="8"/>
        <rFont val="Times New Roman"/>
        <family val="1"/>
      </rPr>
      <t>Input</t>
    </r>
    <r>
      <rPr>
        <sz val="20"/>
        <color indexed="8"/>
        <rFont val="Krishna"/>
        <family val="0"/>
      </rPr>
      <t xml:space="preserve"> ds vk/kkj ij </t>
    </r>
    <r>
      <rPr>
        <sz val="20"/>
        <color indexed="8"/>
        <rFont val="Times New Roman"/>
        <family val="1"/>
      </rPr>
      <t>NAAC</t>
    </r>
    <r>
      <rPr>
        <sz val="20"/>
        <color indexed="8"/>
        <rFont val="Krishna"/>
        <family val="0"/>
      </rPr>
      <t xml:space="preserve"> fu;eksa ds vuqlkj </t>
    </r>
    <r>
      <rPr>
        <b/>
        <u val="single"/>
        <sz val="20"/>
        <color indexed="8"/>
        <rFont val="Times New Roman"/>
        <family val="1"/>
      </rPr>
      <t>Performance-wise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Krishna"/>
        <family val="0"/>
      </rPr>
      <t xml:space="preserve">rFkk </t>
    </r>
    <r>
      <rPr>
        <sz val="20"/>
        <color indexed="8"/>
        <rFont val="Times New Roman"/>
        <family val="1"/>
      </rPr>
      <t>Overall Institutional</t>
    </r>
    <r>
      <rPr>
        <sz val="20"/>
        <color indexed="8"/>
        <rFont val="Krishna"/>
        <family val="0"/>
      </rPr>
      <t xml:space="preserve"> vafre ifj.kke vkSlr Hkkfjr ØsfMV ,oa xzsfMax esa crk;k tkrk gS A</t>
    </r>
  </si>
  <si>
    <t>iz&amp;4</t>
  </si>
  <si>
    <r>
      <t>Result Keyfactorwise NAAC Worksheet</t>
    </r>
    <r>
      <rPr>
        <i/>
        <sz val="20"/>
        <color indexed="10"/>
        <rFont val="Krishna"/>
        <family val="0"/>
      </rPr>
      <t xml:space="preserve"> esa D;k gS \</t>
    </r>
  </si>
  <si>
    <t>m&amp;4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</si>
  <si>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}kjk egkfo|ky; }kjk fofHkUu lwpukvksa ds </t>
    </r>
    <r>
      <rPr>
        <sz val="20"/>
        <color indexed="8"/>
        <rFont val="Times New Roman"/>
        <family val="1"/>
      </rPr>
      <t>Input</t>
    </r>
    <r>
      <rPr>
        <sz val="20"/>
        <color indexed="8"/>
        <rFont val="Krishna"/>
        <family val="0"/>
      </rPr>
      <t xml:space="preserve"> ds vk/kkj ij </t>
    </r>
    <r>
      <rPr>
        <sz val="20"/>
        <color indexed="8"/>
        <rFont val="Times New Roman"/>
        <family val="1"/>
      </rPr>
      <t>NAAC</t>
    </r>
    <r>
      <rPr>
        <sz val="20"/>
        <color indexed="8"/>
        <rFont val="Krishna"/>
        <family val="0"/>
      </rPr>
      <t xml:space="preserve"> fu;eksa ds vuqlkj </t>
    </r>
    <r>
      <rPr>
        <b/>
        <u val="single"/>
        <sz val="20"/>
        <color indexed="8"/>
        <rFont val="Times New Roman"/>
        <family val="1"/>
      </rPr>
      <t>KeyFactor-wise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Krishna"/>
        <family val="0"/>
      </rPr>
      <t>ifj.kke vkSlr Hkkfjr ØsfMV ,oa xzsfMax esa crk;k tkrk gS A</t>
    </r>
  </si>
  <si>
    <t>iz&amp;5</t>
  </si>
  <si>
    <r>
      <t>Result Worksheet</t>
    </r>
    <r>
      <rPr>
        <i/>
        <sz val="20"/>
        <color indexed="10"/>
        <rFont val="Krishna"/>
        <family val="0"/>
      </rPr>
      <t xml:space="preserve"> esa D;k gS \</t>
    </r>
  </si>
  <si>
    <t>m&amp;5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</si>
  <si>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}kjk egkfo|ky; }kjk fofHkUu lwpukvksa ds </t>
    </r>
    <r>
      <rPr>
        <sz val="20"/>
        <color indexed="8"/>
        <rFont val="Times New Roman"/>
        <family val="1"/>
      </rPr>
      <t>Input</t>
    </r>
    <r>
      <rPr>
        <sz val="20"/>
        <color indexed="8"/>
        <rFont val="Krishna"/>
        <family val="0"/>
      </rPr>
      <t xml:space="preserve"> ds vk/kkj ij ;g fo'ys"k.k dj crk;k tkrk gS fd fdl </t>
    </r>
    <r>
      <rPr>
        <b/>
        <u val="single"/>
        <sz val="20"/>
        <color indexed="8"/>
        <rFont val="Times New Roman"/>
        <family val="1"/>
      </rPr>
      <t>Performance Criteria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Krishna"/>
        <family val="0"/>
      </rPr>
      <t xml:space="preserve">esa fdrus vf/kdre Hkkfjr ØsfMV izkIr fd;s tk ldrs gS rFkk egkfo|ky; us fdrus ØsfMV izkIr fd;s gSa ¼budk izfr'kr Hkh n'kkZ;k tkrk gS½ A  ;g crkrk gS fd egkfo|ky; fdl </t>
    </r>
    <r>
      <rPr>
        <sz val="20"/>
        <color indexed="8"/>
        <rFont val="Times New Roman"/>
        <family val="1"/>
      </rPr>
      <t>Performance Criteria</t>
    </r>
    <r>
      <rPr>
        <sz val="20"/>
        <color indexed="8"/>
        <rFont val="Krishna"/>
        <family val="0"/>
      </rPr>
      <t xml:space="preserve"> esa fdruk lq/kkj dj ldrk gS A  blesa ;g lqfo/kk Hkh gS fd </t>
    </r>
    <r>
      <rPr>
        <sz val="20"/>
        <color indexed="8"/>
        <rFont val="Times New Roman"/>
        <family val="1"/>
      </rPr>
      <t>Performance Criteria</t>
    </r>
    <r>
      <rPr>
        <sz val="20"/>
        <color indexed="8"/>
        <rFont val="Krishna"/>
        <family val="0"/>
      </rPr>
      <t xml:space="preserve"> ds vuqlkj lwpukvksa dks </t>
    </r>
    <r>
      <rPr>
        <sz val="20"/>
        <color indexed="8"/>
        <rFont val="Times New Roman"/>
        <family val="1"/>
      </rPr>
      <t>Delete</t>
    </r>
    <r>
      <rPr>
        <sz val="20"/>
        <color indexed="8"/>
        <rFont val="Krishna"/>
        <family val="0"/>
      </rPr>
      <t xml:space="preserve"> fd;k tk ldrk gS A</t>
    </r>
  </si>
  <si>
    <t>iz&amp;6</t>
  </si>
  <si>
    <r>
      <t>Result Keyfactorwise Worksheet</t>
    </r>
    <r>
      <rPr>
        <i/>
        <sz val="20"/>
        <color indexed="10"/>
        <rFont val="Krishna"/>
        <family val="0"/>
      </rPr>
      <t xml:space="preserve"> esa D;k gS \</t>
    </r>
  </si>
  <si>
    <t>m&amp;6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</si>
  <si>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}kjk egkfo|ky; }kjk fofHkUu lwpukvksa ds </t>
    </r>
    <r>
      <rPr>
        <sz val="20"/>
        <color indexed="8"/>
        <rFont val="Times New Roman"/>
        <family val="1"/>
      </rPr>
      <t>Input</t>
    </r>
    <r>
      <rPr>
        <sz val="20"/>
        <color indexed="8"/>
        <rFont val="Krishna"/>
        <family val="0"/>
      </rPr>
      <t xml:space="preserve"> ds vk/kkj ij ;g fo'ys"k.k dj crk;k tkrk gS fd fdl </t>
    </r>
    <r>
      <rPr>
        <b/>
        <u val="single"/>
        <sz val="20"/>
        <color indexed="8"/>
        <rFont val="Times New Roman"/>
        <family val="1"/>
      </rPr>
      <t>Key Factor Criteria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Krishna"/>
        <family val="0"/>
      </rPr>
      <t xml:space="preserve">esa fdrus vf/kdre Hkkfjr ØsfMV izkIr fd;s tk ldrs gS rFkk egkfo|ky; us fdrus ØsfMV izkIr fd;s gSa ¼budk izfr'kr Hkh n'kkZ;k tkrk gS½ A  ;g crkrk gS fd egkfo|ky; fdl </t>
    </r>
    <r>
      <rPr>
        <sz val="20"/>
        <color indexed="8"/>
        <rFont val="Times New Roman"/>
        <family val="1"/>
      </rPr>
      <t>Key Factor Criteria</t>
    </r>
    <r>
      <rPr>
        <sz val="20"/>
        <color indexed="8"/>
        <rFont val="Krishna"/>
        <family val="0"/>
      </rPr>
      <t xml:space="preserve"> esa fdruk lq/kkj dj ldrk gS A  blesa ;g lqfo/kk Hkh gS fd </t>
    </r>
    <r>
      <rPr>
        <sz val="20"/>
        <color indexed="8"/>
        <rFont val="Times New Roman"/>
        <family val="1"/>
      </rPr>
      <t>Key Factor Criteria</t>
    </r>
    <r>
      <rPr>
        <sz val="20"/>
        <color indexed="8"/>
        <rFont val="Krishna"/>
        <family val="0"/>
      </rPr>
      <t xml:space="preserve"> ds vuqlkj lwpukvksa dks </t>
    </r>
    <r>
      <rPr>
        <sz val="20"/>
        <color indexed="8"/>
        <rFont val="Times New Roman"/>
        <family val="1"/>
      </rPr>
      <t>Delete</t>
    </r>
    <r>
      <rPr>
        <sz val="20"/>
        <color indexed="8"/>
        <rFont val="Krishna"/>
        <family val="0"/>
      </rPr>
      <t xml:space="preserve"> fd;k tk ldrk gS A</t>
    </r>
  </si>
  <si>
    <t>iz&amp;7</t>
  </si>
  <si>
    <r>
      <t>Input Worksheet</t>
    </r>
    <r>
      <rPr>
        <i/>
        <sz val="20"/>
        <color indexed="10"/>
        <rFont val="Krishna"/>
        <family val="0"/>
      </rPr>
      <t xml:space="preserve"> ds dkSuls lSy esa lwpuk,a </t>
    </r>
    <r>
      <rPr>
        <i/>
        <sz val="20"/>
        <color indexed="10"/>
        <rFont val="Times New Roman"/>
        <family val="1"/>
      </rPr>
      <t>Input</t>
    </r>
    <r>
      <rPr>
        <i/>
        <sz val="20"/>
        <color indexed="10"/>
        <rFont val="Krishna"/>
        <family val="0"/>
      </rPr>
      <t xml:space="preserve"> dh tkuh gS \</t>
    </r>
  </si>
  <si>
    <t>m&amp;7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</si>
  <si>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ds </t>
    </r>
    <r>
      <rPr>
        <b/>
        <u val="single"/>
        <sz val="20"/>
        <color indexed="8"/>
        <rFont val="Times New Roman"/>
        <family val="1"/>
      </rPr>
      <t>E</t>
    </r>
    <r>
      <rPr>
        <b/>
        <u val="single"/>
        <sz val="20"/>
        <color indexed="8"/>
        <rFont val="Krishna"/>
        <family val="0"/>
      </rPr>
      <t xml:space="preserve"> ,oa </t>
    </r>
    <r>
      <rPr>
        <b/>
        <u val="single"/>
        <sz val="20"/>
        <color indexed="8"/>
        <rFont val="Times New Roman"/>
        <family val="1"/>
      </rPr>
      <t>F</t>
    </r>
    <r>
      <rPr>
        <b/>
        <u val="single"/>
        <sz val="20"/>
        <color indexed="8"/>
        <rFont val="Krishna"/>
        <family val="0"/>
      </rPr>
      <t xml:space="preserve"> </t>
    </r>
    <r>
      <rPr>
        <b/>
        <u val="single"/>
        <sz val="20"/>
        <color indexed="8"/>
        <rFont val="Times New Roman"/>
        <family val="1"/>
      </rPr>
      <t>Columns</t>
    </r>
    <r>
      <rPr>
        <b/>
        <u val="single"/>
        <sz val="20"/>
        <color indexed="8"/>
        <rFont val="Krishna"/>
        <family val="0"/>
      </rPr>
      <t xml:space="preserve"> esa</t>
    </r>
    <r>
      <rPr>
        <sz val="20"/>
        <color indexed="8"/>
        <rFont val="Krishna"/>
        <family val="0"/>
      </rPr>
      <t xml:space="preserve"> fofHkUu lwpukvksa dks </t>
    </r>
    <r>
      <rPr>
        <sz val="20"/>
        <color indexed="8"/>
        <rFont val="Times New Roman"/>
        <family val="1"/>
      </rPr>
      <t>Input</t>
    </r>
    <r>
      <rPr>
        <sz val="20"/>
        <color indexed="8"/>
        <rFont val="Krishna"/>
        <family val="0"/>
      </rPr>
      <t xml:space="preserve"> fd;k tkrk gS A </t>
    </r>
  </si>
  <si>
    <t>iz&amp;8</t>
  </si>
  <si>
    <r>
      <t>Input Worksheet</t>
    </r>
    <r>
      <rPr>
        <i/>
        <sz val="20"/>
        <color indexed="10"/>
        <rFont val="Krishna"/>
        <family val="0"/>
      </rPr>
      <t xml:space="preserve"> ds fdlh lSy esa lwpuk,a </t>
    </r>
    <r>
      <rPr>
        <i/>
        <sz val="20"/>
        <color indexed="10"/>
        <rFont val="Times New Roman"/>
        <family val="1"/>
      </rPr>
      <t>Input</t>
    </r>
    <r>
      <rPr>
        <i/>
        <sz val="20"/>
        <color indexed="10"/>
        <rFont val="Krishna"/>
        <family val="0"/>
      </rPr>
      <t xml:space="preserve"> djus ij Hkh </t>
    </r>
    <r>
      <rPr>
        <i/>
        <sz val="20"/>
        <color indexed="10"/>
        <rFont val="Times New Roman"/>
        <family val="1"/>
      </rPr>
      <t>Weighted Credit Zero</t>
    </r>
    <r>
      <rPr>
        <i/>
        <sz val="20"/>
        <color indexed="10"/>
        <rFont val="Krishna"/>
        <family val="0"/>
      </rPr>
      <t xml:space="preserve"> D;ksa vk jgh gS \</t>
    </r>
  </si>
  <si>
    <t>m&amp;8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</si>
  <si>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ds </t>
    </r>
    <r>
      <rPr>
        <b/>
        <u val="single"/>
        <sz val="20"/>
        <color indexed="8"/>
        <rFont val="Times New Roman"/>
        <family val="1"/>
      </rPr>
      <t>AA</t>
    </r>
    <r>
      <rPr>
        <b/>
        <u val="single"/>
        <sz val="20"/>
        <color indexed="8"/>
        <rFont val="Krishna"/>
        <family val="0"/>
      </rPr>
      <t xml:space="preserve"> </t>
    </r>
    <r>
      <rPr>
        <b/>
        <u val="single"/>
        <sz val="20"/>
        <color indexed="8"/>
        <rFont val="Times New Roman"/>
        <family val="1"/>
      </rPr>
      <t>Column</t>
    </r>
    <r>
      <rPr>
        <b/>
        <u val="single"/>
        <sz val="20"/>
        <color indexed="8"/>
        <rFont val="Krishna"/>
        <family val="0"/>
      </rPr>
      <t xml:space="preserve"> esa</t>
    </r>
    <r>
      <rPr>
        <sz val="20"/>
        <color indexed="8"/>
        <rFont val="Krishna"/>
        <family val="0"/>
      </rPr>
      <t xml:space="preserve"> ;g Hkh crkuk gksxk fd D;k egkfo|ky; ds ikl </t>
    </r>
    <r>
      <rPr>
        <sz val="20"/>
        <color indexed="8"/>
        <rFont val="Times New Roman"/>
        <family val="1"/>
      </rPr>
      <t>Input</t>
    </r>
    <r>
      <rPr>
        <sz val="20"/>
        <color indexed="8"/>
        <rFont val="Krishna"/>
        <family val="0"/>
      </rPr>
      <t xml:space="preserve"> dh x;h lwpuk ds izek.k miyC/k gS A  </t>
    </r>
    <r>
      <rPr>
        <sz val="20"/>
        <color indexed="8"/>
        <rFont val="Times New Roman"/>
        <family val="1"/>
      </rPr>
      <t>YES</t>
    </r>
    <r>
      <rPr>
        <sz val="20"/>
        <color indexed="8"/>
        <rFont val="Krishna"/>
        <family val="0"/>
      </rPr>
      <t xml:space="preserve"> fy[kus ij </t>
    </r>
    <r>
      <rPr>
        <sz val="20"/>
        <color indexed="8"/>
        <rFont val="Times New Roman"/>
        <family val="1"/>
      </rPr>
      <t>Weighted Credit</t>
    </r>
    <r>
      <rPr>
        <sz val="20"/>
        <color indexed="8"/>
        <rFont val="Krishna"/>
        <family val="0"/>
      </rPr>
      <t xml:space="preserve"> dk vad </t>
    </r>
    <r>
      <rPr>
        <sz val="20"/>
        <color indexed="8"/>
        <rFont val="Times New Roman"/>
        <family val="1"/>
      </rPr>
      <t>Zero</t>
    </r>
    <r>
      <rPr>
        <sz val="20"/>
        <color indexed="8"/>
        <rFont val="Krishna"/>
        <family val="0"/>
      </rPr>
      <t xml:space="preserve"> ls gV dj okLrfod izkIr gksxk A</t>
    </r>
  </si>
  <si>
    <t>iz&amp;9</t>
  </si>
  <si>
    <r>
      <t>;g dSls irk pysxk fd</t>
    </r>
    <r>
      <rPr>
        <i/>
        <sz val="20"/>
        <color indexed="10"/>
        <rFont val="Times New Roman"/>
        <family val="1"/>
      </rPr>
      <t xml:space="preserve"> Input Worksheet</t>
    </r>
    <r>
      <rPr>
        <i/>
        <sz val="20"/>
        <color indexed="10"/>
        <rFont val="Krishna"/>
        <family val="0"/>
      </rPr>
      <t xml:space="preserve"> ds fdlh lSy esa lwpuk,a </t>
    </r>
    <r>
      <rPr>
        <i/>
        <sz val="20"/>
        <color indexed="10"/>
        <rFont val="Times New Roman"/>
        <family val="1"/>
      </rPr>
      <t>Input</t>
    </r>
    <r>
      <rPr>
        <i/>
        <sz val="20"/>
        <color indexed="10"/>
        <rFont val="Krishna"/>
        <family val="0"/>
      </rPr>
      <t xml:space="preserve"> djus ds nkSjku </t>
    </r>
    <r>
      <rPr>
        <i/>
        <sz val="20"/>
        <color indexed="10"/>
        <rFont val="Times New Roman"/>
        <family val="1"/>
      </rPr>
      <t>Numerator and Denominator</t>
    </r>
    <r>
      <rPr>
        <i/>
        <sz val="20"/>
        <color indexed="10"/>
        <rFont val="Krishna"/>
        <family val="0"/>
      </rPr>
      <t xml:space="preserve"> esa ls dkSulk </t>
    </r>
    <r>
      <rPr>
        <i/>
        <sz val="20"/>
        <color indexed="10"/>
        <rFont val="Times New Roman"/>
        <family val="1"/>
      </rPr>
      <t>E</t>
    </r>
    <r>
      <rPr>
        <i/>
        <sz val="20"/>
        <color indexed="10"/>
        <rFont val="Krishna"/>
        <family val="0"/>
      </rPr>
      <t xml:space="preserve"> ,oa </t>
    </r>
    <r>
      <rPr>
        <i/>
        <sz val="20"/>
        <color indexed="10"/>
        <rFont val="Times New Roman"/>
        <family val="1"/>
      </rPr>
      <t>F</t>
    </r>
    <r>
      <rPr>
        <i/>
        <sz val="20"/>
        <color indexed="10"/>
        <rFont val="Krishna"/>
        <family val="0"/>
      </rPr>
      <t xml:space="preserve"> </t>
    </r>
    <r>
      <rPr>
        <i/>
        <sz val="20"/>
        <color indexed="10"/>
        <rFont val="Times New Roman"/>
        <family val="1"/>
      </rPr>
      <t>Columns</t>
    </r>
    <r>
      <rPr>
        <i/>
        <sz val="20"/>
        <color indexed="10"/>
        <rFont val="Krishna"/>
        <family val="0"/>
      </rPr>
      <t xml:space="preserve"> esa ls dgka </t>
    </r>
    <r>
      <rPr>
        <i/>
        <sz val="20"/>
        <color indexed="10"/>
        <rFont val="Times New Roman"/>
        <family val="1"/>
      </rPr>
      <t>Input</t>
    </r>
    <r>
      <rPr>
        <i/>
        <sz val="20"/>
        <color indexed="10"/>
        <rFont val="Krishna"/>
        <family val="0"/>
      </rPr>
      <t xml:space="preserve"> djuk gS \</t>
    </r>
  </si>
  <si>
    <t>m&amp;9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</si>
  <si>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ds izR;sd </t>
    </r>
    <r>
      <rPr>
        <sz val="20"/>
        <color indexed="8"/>
        <rFont val="Times New Roman"/>
        <family val="1"/>
      </rPr>
      <t>E</t>
    </r>
    <r>
      <rPr>
        <sz val="20"/>
        <color indexed="8"/>
        <rFont val="Krishna"/>
        <family val="0"/>
      </rPr>
      <t xml:space="preserve"> ,oa </t>
    </r>
    <r>
      <rPr>
        <sz val="20"/>
        <color indexed="8"/>
        <rFont val="Times New Roman"/>
        <family val="1"/>
      </rPr>
      <t>F</t>
    </r>
    <r>
      <rPr>
        <sz val="20"/>
        <color indexed="8"/>
        <rFont val="Krishna"/>
        <family val="0"/>
      </rPr>
      <t xml:space="preserve"> </t>
    </r>
    <r>
      <rPr>
        <sz val="20"/>
        <color indexed="8"/>
        <rFont val="Times New Roman"/>
        <family val="1"/>
      </rPr>
      <t xml:space="preserve">Columns </t>
    </r>
    <r>
      <rPr>
        <sz val="20"/>
        <color indexed="8"/>
        <rFont val="Krishna"/>
        <family val="0"/>
      </rPr>
      <t xml:space="preserve">ds </t>
    </r>
    <r>
      <rPr>
        <b/>
        <u val="single"/>
        <sz val="20"/>
        <color indexed="8"/>
        <rFont val="Times New Roman"/>
        <family val="1"/>
      </rPr>
      <t>Cell</t>
    </r>
    <r>
      <rPr>
        <b/>
        <u val="single"/>
        <sz val="20"/>
        <color indexed="8"/>
        <rFont val="Krishna"/>
        <family val="0"/>
      </rPr>
      <t xml:space="preserve"> ds mij </t>
    </r>
    <r>
      <rPr>
        <b/>
        <u val="single"/>
        <sz val="20"/>
        <color indexed="8"/>
        <rFont val="Times New Roman"/>
        <family val="1"/>
      </rPr>
      <t>Cursor</t>
    </r>
    <r>
      <rPr>
        <b/>
        <u val="single"/>
        <sz val="20"/>
        <color indexed="8"/>
        <rFont val="Krishna"/>
        <family val="0"/>
      </rPr>
      <t xml:space="preserve"> ys tkus ij</t>
    </r>
    <r>
      <rPr>
        <sz val="20"/>
        <color indexed="8"/>
        <rFont val="Krishna"/>
        <family val="0"/>
      </rPr>
      <t xml:space="preserve"> ;g fn[kkbZ nsxk fd </t>
    </r>
    <r>
      <rPr>
        <sz val="20"/>
        <color indexed="8"/>
        <rFont val="Times New Roman"/>
        <family val="1"/>
      </rPr>
      <t>Numerator and Denominator</t>
    </r>
    <r>
      <rPr>
        <sz val="20"/>
        <color indexed="8"/>
        <rFont val="Krishna"/>
        <family val="0"/>
      </rPr>
      <t xml:space="preserve"> esa ls D;k dgka </t>
    </r>
    <r>
      <rPr>
        <sz val="20"/>
        <color indexed="8"/>
        <rFont val="Times New Roman"/>
        <family val="1"/>
      </rPr>
      <t>Input</t>
    </r>
    <r>
      <rPr>
        <sz val="20"/>
        <color indexed="8"/>
        <rFont val="Krishna"/>
        <family val="0"/>
      </rPr>
      <t xml:space="preserve"> djuk gS A</t>
    </r>
  </si>
  <si>
    <t>iz&amp;10</t>
  </si>
  <si>
    <t>m&amp;10</t>
  </si>
  <si>
    <t>iz&amp;11</t>
  </si>
  <si>
    <r>
      <t xml:space="preserve">lHkh </t>
    </r>
    <r>
      <rPr>
        <i/>
        <sz val="20"/>
        <color indexed="10"/>
        <rFont val="Times New Roman"/>
        <family val="1"/>
      </rPr>
      <t>Worksheets</t>
    </r>
    <r>
      <rPr>
        <i/>
        <sz val="20"/>
        <color indexed="10"/>
        <rFont val="Krishna"/>
        <family val="0"/>
      </rPr>
      <t xml:space="preserve"> esa dqN </t>
    </r>
    <r>
      <rPr>
        <i/>
        <sz val="20"/>
        <color indexed="10"/>
        <rFont val="Times New Roman"/>
        <family val="1"/>
      </rPr>
      <t>Cell</t>
    </r>
    <r>
      <rPr>
        <i/>
        <sz val="20"/>
        <color indexed="10"/>
        <rFont val="Krishna"/>
        <family val="0"/>
      </rPr>
      <t xml:space="preserve"> ij </t>
    </r>
    <r>
      <rPr>
        <i/>
        <sz val="20"/>
        <color indexed="10"/>
        <rFont val="Times New Roman"/>
        <family val="1"/>
      </rPr>
      <t>Cursor</t>
    </r>
    <r>
      <rPr>
        <i/>
        <sz val="20"/>
        <color indexed="10"/>
        <rFont val="Krishna"/>
        <family val="0"/>
      </rPr>
      <t xml:space="preserve"> ugha tkrk gS rFkk u gh dqN </t>
    </r>
    <r>
      <rPr>
        <i/>
        <sz val="20"/>
        <color indexed="10"/>
        <rFont val="Times New Roman"/>
        <family val="1"/>
      </rPr>
      <t>Cell Delete</t>
    </r>
    <r>
      <rPr>
        <i/>
        <sz val="20"/>
        <color indexed="10"/>
        <rFont val="Krishna"/>
        <family val="0"/>
      </rPr>
      <t xml:space="preserve"> gksrs gSa rFkk dksbZ Hkh </t>
    </r>
    <r>
      <rPr>
        <i/>
        <sz val="20"/>
        <color indexed="10"/>
        <rFont val="Times New Roman"/>
        <family val="1"/>
      </rPr>
      <t>Copy</t>
    </r>
    <r>
      <rPr>
        <i/>
        <sz val="20"/>
        <color indexed="10"/>
        <rFont val="Krishna"/>
        <family val="0"/>
      </rPr>
      <t xml:space="preserve"> ugha gksrk gS \</t>
    </r>
  </si>
  <si>
    <t>m&amp;11</t>
  </si>
  <si>
    <r>
      <t xml:space="preserve">gka] ;g lR; gS D;ksafd lHkh </t>
    </r>
    <r>
      <rPr>
        <b/>
        <u val="single"/>
        <sz val="20"/>
        <color indexed="8"/>
        <rFont val="Times New Roman"/>
        <family val="1"/>
      </rPr>
      <t>Worksheets</t>
    </r>
    <r>
      <rPr>
        <b/>
        <u val="single"/>
        <sz val="20"/>
        <color indexed="8"/>
        <rFont val="Krishna"/>
        <family val="0"/>
      </rPr>
      <t xml:space="preserve"> ds lHkh@dqN </t>
    </r>
    <r>
      <rPr>
        <b/>
        <u val="single"/>
        <sz val="20"/>
        <color indexed="8"/>
        <rFont val="Times New Roman"/>
        <family val="1"/>
      </rPr>
      <t>Cell Protected</t>
    </r>
    <r>
      <rPr>
        <sz val="20"/>
        <color indexed="8"/>
        <rFont val="Krishna"/>
        <family val="0"/>
      </rPr>
      <t xml:space="preserve"> gS A</t>
    </r>
  </si>
  <si>
    <r>
      <t xml:space="preserve">igyk dk;Z gS </t>
    </r>
    <r>
      <rPr>
        <sz val="20"/>
        <color indexed="8"/>
        <rFont val="Times New Roman"/>
        <family val="1"/>
      </rPr>
      <t>Macros</t>
    </r>
    <r>
      <rPr>
        <sz val="20"/>
        <color indexed="8"/>
        <rFont val="Krishna"/>
        <family val="0"/>
      </rPr>
      <t xml:space="preserve"> dks </t>
    </r>
    <r>
      <rPr>
        <sz val="20"/>
        <color indexed="8"/>
        <rFont val="Times New Roman"/>
        <family val="1"/>
      </rPr>
      <t>Enable</t>
    </r>
    <r>
      <rPr>
        <sz val="20"/>
        <color indexed="8"/>
        <rFont val="Krishna"/>
        <family val="0"/>
      </rPr>
      <t xml:space="preserve"> djuk rFkk </t>
    </r>
    <r>
      <rPr>
        <sz val="20"/>
        <color indexed="8"/>
        <rFont val="Times New Roman"/>
        <family val="1"/>
      </rPr>
      <t>Basic Details Worksheet</t>
    </r>
    <r>
      <rPr>
        <sz val="20"/>
        <color indexed="8"/>
        <rFont val="Krishna"/>
        <family val="0"/>
      </rPr>
      <t xml:space="preserve"> dks Hkjus dk A</t>
    </r>
  </si>
  <si>
    <r>
      <rPr>
        <i/>
        <sz val="20"/>
        <color indexed="10"/>
        <rFont val="Times New Roman"/>
        <family val="1"/>
      </rPr>
      <t>Input Worksheet</t>
    </r>
    <r>
      <rPr>
        <i/>
        <sz val="20"/>
        <color indexed="10"/>
        <rFont val="Krishna"/>
        <family val="0"/>
      </rPr>
      <t xml:space="preserve"> esa fdlh lwpuk gsrq D;k nLrkost pkfg;s mldh lwph dgka gS \</t>
    </r>
  </si>
  <si>
    <t>iz&amp;12</t>
  </si>
  <si>
    <r>
      <t xml:space="preserve">bl </t>
    </r>
    <r>
      <rPr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ds izR;sd </t>
    </r>
    <r>
      <rPr>
        <sz val="20"/>
        <color indexed="8"/>
        <rFont val="Times New Roman"/>
        <family val="1"/>
      </rPr>
      <t>Parameter</t>
    </r>
    <r>
      <rPr>
        <sz val="20"/>
        <color indexed="8"/>
        <rFont val="Krishna"/>
        <family val="0"/>
      </rPr>
      <t xml:space="preserve"> ds fy, </t>
    </r>
    <r>
      <rPr>
        <b/>
        <u val="single"/>
        <sz val="20"/>
        <color indexed="8"/>
        <rFont val="Times New Roman"/>
        <family val="1"/>
      </rPr>
      <t>AH</t>
    </r>
    <r>
      <rPr>
        <b/>
        <u val="single"/>
        <sz val="20"/>
        <color indexed="8"/>
        <rFont val="Krishna"/>
        <family val="0"/>
      </rPr>
      <t xml:space="preserve"> </t>
    </r>
    <r>
      <rPr>
        <b/>
        <u val="single"/>
        <sz val="20"/>
        <color indexed="8"/>
        <rFont val="Times New Roman"/>
        <family val="1"/>
      </rPr>
      <t xml:space="preserve">Column </t>
    </r>
    <r>
      <rPr>
        <b/>
        <u val="single"/>
        <sz val="20"/>
        <color indexed="8"/>
        <rFont val="Krishna"/>
        <family val="0"/>
      </rPr>
      <t>esas</t>
    </r>
    <r>
      <rPr>
        <sz val="20"/>
        <color indexed="8"/>
        <rFont val="Krishna"/>
        <family val="0"/>
      </rPr>
      <t xml:space="preserve"> lwph nh gS ftlds vuqlkj nLrkostksa dks ,df=r djuk gS A laxzfgr ,sls nLrkostksa dks fn;k x;k Øe blh </t>
    </r>
    <r>
      <rPr>
        <b/>
        <u val="single"/>
        <sz val="20"/>
        <color indexed="8"/>
        <rFont val="Times New Roman"/>
        <family val="1"/>
      </rPr>
      <t>Worksheet</t>
    </r>
    <r>
      <rPr>
        <sz val="20"/>
        <color indexed="8"/>
        <rFont val="Krishna"/>
        <family val="0"/>
      </rPr>
      <t xml:space="preserve"> ds </t>
    </r>
    <r>
      <rPr>
        <b/>
        <u val="single"/>
        <sz val="20"/>
        <color indexed="8"/>
        <rFont val="Times New Roman"/>
        <family val="1"/>
      </rPr>
      <t>AA-AC Columns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Krishna"/>
        <family val="0"/>
      </rPr>
      <t xml:space="preserve">esa vafdr fd;k tkuk gS A </t>
    </r>
  </si>
  <si>
    <r>
      <rPr>
        <i/>
        <sz val="20"/>
        <color indexed="10"/>
        <rFont val="Times New Roman"/>
        <family val="1"/>
      </rPr>
      <t>Input Worksheets</t>
    </r>
    <r>
      <rPr>
        <i/>
        <sz val="20"/>
        <color indexed="10"/>
        <rFont val="Krishna"/>
        <family val="0"/>
      </rPr>
      <t xml:space="preserve"> esa lwpuk,a@lead </t>
    </r>
    <r>
      <rPr>
        <i/>
        <sz val="20"/>
        <color indexed="10"/>
        <rFont val="Times New Roman"/>
        <family val="1"/>
      </rPr>
      <t>Input</t>
    </r>
    <r>
      <rPr>
        <i/>
        <sz val="20"/>
        <color indexed="10"/>
        <rFont val="Krishna"/>
        <family val="0"/>
      </rPr>
      <t xml:space="preserve"> djrs le; fdu ckrksa dks /;ku esa j[kuk gS </t>
    </r>
    <r>
      <rPr>
        <i/>
        <sz val="20"/>
        <color indexed="10"/>
        <rFont val="Krishna"/>
        <family val="0"/>
      </rPr>
      <t>\</t>
    </r>
  </si>
  <si>
    <r>
      <rPr>
        <b/>
        <u val="single"/>
        <sz val="20"/>
        <color indexed="8"/>
        <rFont val="Times New Roman"/>
        <family val="1"/>
      </rPr>
      <t>Input Worksheets</t>
    </r>
    <r>
      <rPr>
        <b/>
        <u val="single"/>
        <sz val="20"/>
        <color indexed="8"/>
        <rFont val="Krishna"/>
        <family val="0"/>
      </rPr>
      <t xml:space="preserve"> ds fdlh Hkh </t>
    </r>
    <r>
      <rPr>
        <b/>
        <u val="single"/>
        <sz val="20"/>
        <color indexed="8"/>
        <rFont val="Times New Roman"/>
        <family val="1"/>
      </rPr>
      <t>Cell</t>
    </r>
    <r>
      <rPr>
        <b/>
        <u val="single"/>
        <sz val="20"/>
        <color indexed="8"/>
        <rFont val="Krishna"/>
        <family val="0"/>
      </rPr>
      <t xml:space="preserve"> ds fy, </t>
    </r>
    <r>
      <rPr>
        <b/>
        <u val="single"/>
        <sz val="20"/>
        <color indexed="8"/>
        <rFont val="Times New Roman"/>
        <family val="1"/>
      </rPr>
      <t>Cut/Paste/Copy Command</t>
    </r>
    <r>
      <rPr>
        <b/>
        <u val="single"/>
        <sz val="20"/>
        <color indexed="8"/>
        <rFont val="Krishna"/>
        <family val="0"/>
      </rPr>
      <t xml:space="preserve"> dk mi;ksx ugha </t>
    </r>
    <r>
      <rPr>
        <b/>
        <sz val="20"/>
        <color indexed="8"/>
        <rFont val="Krishna"/>
        <family val="0"/>
      </rPr>
      <t xml:space="preserve">djuk gS A  ,slk djus ij lHkh </t>
    </r>
    <r>
      <rPr>
        <b/>
        <sz val="20"/>
        <color indexed="8"/>
        <rFont val="Times New Roman"/>
        <family val="1"/>
      </rPr>
      <t>Hidden Formula</t>
    </r>
    <r>
      <rPr>
        <b/>
        <sz val="20"/>
        <color indexed="8"/>
        <rFont val="Krishna"/>
        <family val="0"/>
      </rPr>
      <t xml:space="preserve"> xyr lwpukvksa dh x.kuk djsaxs ,oa xyr ifj.kke izLrqr djsaxs A  mlds i'pkr ;g </t>
    </r>
    <r>
      <rPr>
        <b/>
        <sz val="20"/>
        <color indexed="8"/>
        <rFont val="Times New Roman"/>
        <family val="1"/>
      </rPr>
      <t>Programe</t>
    </r>
    <r>
      <rPr>
        <b/>
        <sz val="20"/>
        <color indexed="8"/>
        <rFont val="Krishna"/>
        <family val="0"/>
      </rPr>
      <t xml:space="preserve"> fdlh Hkh dke dk ugha jgsxk A</t>
    </r>
  </si>
  <si>
    <t>m&amp;12</t>
  </si>
  <si>
    <t>Post</t>
  </si>
  <si>
    <t>Dispatch No. and Date :</t>
  </si>
  <si>
    <t xml:space="preserve">   It is being certified that above serial number points 44-64, 68, 70, 72-77, 79, 81, 95-100, 111, 116, 123, 124  have been checked physically by Peer Team. </t>
  </si>
  <si>
    <t>TR of all courses AND AISHE DCF AND to be randomly verified by team</t>
  </si>
  <si>
    <t>Copies of Statistical Report AND Library stock register</t>
  </si>
  <si>
    <t>Copy of Data sheet of all monthly tests AND answer sheets of student to be verified randomly by Peer Team</t>
  </si>
  <si>
    <t xml:space="preserve">   It is being certified that above serial number points 44-64, 68, 70, 73-77, 79, 81, 95-100, 111, 116, 123  have been verified physically by Peer Team. </t>
  </si>
  <si>
    <t>- :Contact for HELP :-</t>
  </si>
  <si>
    <t>P1-5</t>
  </si>
  <si>
    <t>P6-7</t>
  </si>
  <si>
    <t>P8</t>
  </si>
  <si>
    <t>P9</t>
  </si>
  <si>
    <t>P10-11</t>
  </si>
  <si>
    <t>P12</t>
  </si>
  <si>
    <t>P13-15</t>
  </si>
  <si>
    <t>P16-18</t>
  </si>
  <si>
    <t>P20-22</t>
  </si>
  <si>
    <t>P23,23(a)</t>
  </si>
  <si>
    <t>P23,23(b)</t>
  </si>
  <si>
    <t>P24-25</t>
  </si>
  <si>
    <t>P26</t>
  </si>
  <si>
    <t>P27</t>
  </si>
  <si>
    <t>P30</t>
  </si>
  <si>
    <t>P31</t>
  </si>
  <si>
    <t>NO</t>
  </si>
  <si>
    <t>E1</t>
  </si>
  <si>
    <t>P1-3</t>
  </si>
  <si>
    <t>P4-10</t>
  </si>
  <si>
    <t>P4-10,10A</t>
  </si>
  <si>
    <t>P11-36</t>
  </si>
  <si>
    <t>None</t>
  </si>
  <si>
    <t>P1-12</t>
  </si>
  <si>
    <t>B-1</t>
  </si>
  <si>
    <t>P13-33</t>
  </si>
  <si>
    <t>P34-50</t>
  </si>
  <si>
    <t>P51-80</t>
  </si>
  <si>
    <t>P81-99</t>
  </si>
  <si>
    <t>P100-174</t>
  </si>
  <si>
    <t>P175</t>
  </si>
  <si>
    <t>P176-181</t>
  </si>
  <si>
    <t>B-2</t>
  </si>
  <si>
    <t>182-195</t>
  </si>
  <si>
    <t>196-199</t>
  </si>
  <si>
    <t>P19</t>
  </si>
  <si>
    <t>P23,23(c)</t>
  </si>
  <si>
    <t>YES</t>
  </si>
  <si>
    <t>P1-25</t>
  </si>
  <si>
    <t>P1-9</t>
  </si>
  <si>
    <t>D1 P10,23,25</t>
  </si>
  <si>
    <t>SETH R.L.SAHARIA GOVT. P.G. COLLEGE KALADERA</t>
  </si>
  <si>
    <t>KALADERA (JAIPUR)</t>
  </si>
  <si>
    <t>DR. L.P.MAHAWAR</t>
  </si>
  <si>
    <t>DR. SNEH SINGH</t>
  </si>
  <si>
    <t>rlscollegekaladera@gmail.com</t>
  </si>
  <si>
    <t>First</t>
  </si>
  <si>
    <t>MAR</t>
  </si>
  <si>
    <t>PRINCIPAL</t>
  </si>
  <si>
    <t>KOTA</t>
  </si>
  <si>
    <t>DR. CHHABI MITTAL</t>
  </si>
  <si>
    <t>ASSOCIATE PROFESSOR</t>
  </si>
  <si>
    <t>S.P.C. GOVT. COLLEGE AJMER</t>
  </si>
  <si>
    <t>AJMER</t>
  </si>
  <si>
    <t>DR. SUNIL KUMAR GOYAL</t>
  </si>
  <si>
    <t>ASSISTANT PROFESSOR</t>
  </si>
  <si>
    <t>DR. RAFIQUE MOHAMMED QURESHI</t>
  </si>
  <si>
    <t>P10</t>
  </si>
  <si>
    <t>P20-21</t>
  </si>
  <si>
    <t>GOVT. COLLEGE KOTA</t>
  </si>
  <si>
    <t>P20,21,26,27</t>
  </si>
  <si>
    <t>P19,27</t>
  </si>
  <si>
    <t>D2</t>
  </si>
  <si>
    <t>P4</t>
  </si>
  <si>
    <t>P32-79</t>
  </si>
  <si>
    <t>P33</t>
  </si>
  <si>
    <t>P88</t>
  </si>
  <si>
    <t>P89,90</t>
  </si>
  <si>
    <t>P91-94</t>
  </si>
  <si>
    <t>P95-97</t>
  </si>
  <si>
    <t>P98-132</t>
  </si>
  <si>
    <t>P133-135</t>
  </si>
  <si>
    <t>P136-141</t>
  </si>
  <si>
    <t>P142</t>
  </si>
  <si>
    <t>P143</t>
  </si>
  <si>
    <t>P144</t>
  </si>
  <si>
    <t>P145,146</t>
  </si>
  <si>
    <t>P147</t>
  </si>
  <si>
    <t>P148</t>
  </si>
  <si>
    <t>P149,150</t>
  </si>
  <si>
    <t>P151,152</t>
  </si>
  <si>
    <t>P153</t>
  </si>
  <si>
    <t>P28,28(a)-29</t>
  </si>
  <si>
    <t>No Pendency</t>
  </si>
  <si>
    <t>P7,9-30,35</t>
  </si>
  <si>
    <t>P9-31</t>
  </si>
  <si>
    <t>P9-31,33-35</t>
  </si>
  <si>
    <t>P36-42</t>
  </si>
  <si>
    <t>P43-44</t>
  </si>
  <si>
    <t>P9-30,35</t>
  </si>
  <si>
    <t>P45-51</t>
  </si>
  <si>
    <t>P52-54</t>
  </si>
  <si>
    <t>P59-109</t>
  </si>
  <si>
    <t>P110-116</t>
  </si>
  <si>
    <t>P117,9-30,35</t>
  </si>
  <si>
    <t>P118-121</t>
  </si>
  <si>
    <t>C-1</t>
  </si>
  <si>
    <t>P1</t>
  </si>
  <si>
    <t>C_1</t>
  </si>
  <si>
    <t>P-3</t>
  </si>
  <si>
    <t>P3-4</t>
  </si>
  <si>
    <t>C-2</t>
  </si>
  <si>
    <t>P5-10</t>
  </si>
  <si>
    <t>A-1</t>
  </si>
  <si>
    <t>A-2</t>
  </si>
  <si>
    <t>A-3</t>
  </si>
  <si>
    <t>A-4</t>
  </si>
  <si>
    <t>A-5</t>
  </si>
  <si>
    <t>D-1</t>
  </si>
  <si>
    <t>D-2</t>
  </si>
  <si>
    <t>E-1</t>
  </si>
  <si>
    <t>F-1</t>
  </si>
  <si>
    <t>F-2</t>
  </si>
  <si>
    <t>F-3</t>
  </si>
  <si>
    <t>F-4</t>
  </si>
  <si>
    <t>P57-58</t>
  </si>
  <si>
    <t>P55-56</t>
  </si>
  <si>
    <t>No</t>
  </si>
  <si>
    <t>Document Verified</t>
  </si>
  <si>
    <t>NOT VERIFIED</t>
  </si>
  <si>
    <t>Physically Verified</t>
  </si>
  <si>
    <t>P2(Physically Verified)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</si>
</sst>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0.000"/>
    <numFmt numFmtId="167" formatCode="0000"/>
    <numFmt numFmtId="168" formatCode="[$-14009]dd/mm/yyyy;@"/>
  </numFmts>
  <fonts count="245">
    <font>
      <sz val="14"/>
      <color theme="1"/>
      <name val="Times New Roman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sz val="14"/>
      <name val="Times New Roman"/>
      <family val="2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b/>
      <sz val="13"/>
      <name val="Arial"/>
      <family val="2"/>
    </font>
    <font>
      <b/>
      <u val="single"/>
      <sz val="30"/>
      <name val="Times New Roman"/>
      <family val="1"/>
    </font>
    <font>
      <b/>
      <sz val="16"/>
      <name val="Arial"/>
      <family val="2"/>
    </font>
    <font>
      <b/>
      <u val="single"/>
      <sz val="20"/>
      <color indexed="8"/>
      <name val="Times New Roman"/>
      <family val="1"/>
    </font>
    <font>
      <b/>
      <u val="single"/>
      <sz val="20"/>
      <color indexed="8"/>
      <name val="Krishna Condensed"/>
      <family val="0"/>
    </font>
    <font>
      <b/>
      <u val="single"/>
      <sz val="20"/>
      <color indexed="8"/>
      <name val="Krishna"/>
      <family val="0"/>
    </font>
    <font>
      <i/>
      <sz val="20"/>
      <color indexed="10"/>
      <name val="Krishna"/>
      <family val="0"/>
    </font>
    <font>
      <i/>
      <sz val="20"/>
      <color indexed="10"/>
      <name val="Times New Roman"/>
      <family val="1"/>
    </font>
    <font>
      <sz val="20"/>
      <color indexed="8"/>
      <name val="Krishna"/>
      <family val="0"/>
    </font>
    <font>
      <sz val="20"/>
      <color indexed="8"/>
      <name val="Times New Roman"/>
      <family val="1"/>
    </font>
    <font>
      <b/>
      <sz val="20"/>
      <color indexed="8"/>
      <name val="Krishna"/>
      <family val="0"/>
    </font>
    <font>
      <b/>
      <sz val="12"/>
      <name val="Arial"/>
      <family val="2"/>
    </font>
    <font>
      <sz val="14"/>
      <color indexed="8"/>
      <name val="Times New Roman"/>
      <family val="2"/>
    </font>
    <font>
      <u val="single"/>
      <sz val="14"/>
      <color indexed="12"/>
      <name val="Times New Roman"/>
      <family val="2"/>
    </font>
    <font>
      <sz val="14"/>
      <color indexed="9"/>
      <name val="Times New Roman"/>
      <family val="2"/>
    </font>
    <font>
      <sz val="14"/>
      <color indexed="13"/>
      <name val="Times New Roman"/>
      <family val="2"/>
    </font>
    <font>
      <sz val="10"/>
      <color indexed="8"/>
      <name val="Times New Roman"/>
      <family val="2"/>
    </font>
    <font>
      <sz val="10"/>
      <color indexed="13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60"/>
      <name val="Times New Roman"/>
      <family val="1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b/>
      <sz val="18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b/>
      <sz val="20"/>
      <color indexed="13"/>
      <name val="Arial"/>
      <family val="2"/>
    </font>
    <font>
      <b/>
      <sz val="20"/>
      <color indexed="10"/>
      <name val="Arial"/>
      <family val="2"/>
    </font>
    <font>
      <sz val="18"/>
      <color indexed="10"/>
      <name val="Times New Roman"/>
      <family val="2"/>
    </font>
    <font>
      <sz val="18"/>
      <color indexed="13"/>
      <name val="Times New Roman"/>
      <family val="2"/>
    </font>
    <font>
      <b/>
      <sz val="25"/>
      <color indexed="9"/>
      <name val="Times New Roman"/>
      <family val="1"/>
    </font>
    <font>
      <b/>
      <sz val="30"/>
      <color indexed="9"/>
      <name val="Arial"/>
      <family val="2"/>
    </font>
    <font>
      <b/>
      <sz val="18"/>
      <color indexed="10"/>
      <name val="Times New Roman"/>
      <family val="1"/>
    </font>
    <font>
      <b/>
      <sz val="18"/>
      <color indexed="40"/>
      <name val="Times New Roman"/>
      <family val="1"/>
    </font>
    <font>
      <sz val="12"/>
      <color indexed="63"/>
      <name val="Arial"/>
      <family val="2"/>
    </font>
    <font>
      <b/>
      <sz val="30"/>
      <color indexed="10"/>
      <name val="Arial"/>
      <family val="2"/>
    </font>
    <font>
      <sz val="25"/>
      <color indexed="8"/>
      <name val="Calibri"/>
      <family val="2"/>
    </font>
    <font>
      <u val="single"/>
      <sz val="20"/>
      <color indexed="8"/>
      <name val="Times New Roman"/>
      <family val="2"/>
    </font>
    <font>
      <sz val="12"/>
      <color indexed="8"/>
      <name val="Times New Roman"/>
      <family val="2"/>
    </font>
    <font>
      <b/>
      <sz val="20"/>
      <color indexed="9"/>
      <name val="Times New Roman"/>
      <family val="1"/>
    </font>
    <font>
      <b/>
      <sz val="20"/>
      <color indexed="13"/>
      <name val="Times New Roman"/>
      <family val="1"/>
    </font>
    <font>
      <sz val="13"/>
      <color indexed="8"/>
      <name val="Times New Roman"/>
      <family val="2"/>
    </font>
    <font>
      <b/>
      <i/>
      <u val="single"/>
      <sz val="16"/>
      <color indexed="10"/>
      <name val="Times New Roman"/>
      <family val="1"/>
    </font>
    <font>
      <sz val="12"/>
      <color indexed="9"/>
      <name val="Times New Roman"/>
      <family val="2"/>
    </font>
    <font>
      <b/>
      <sz val="18"/>
      <color indexed="9"/>
      <name val="Times New Roman"/>
      <family val="1"/>
    </font>
    <font>
      <sz val="20"/>
      <color indexed="9"/>
      <name val="Times New Roman"/>
      <family val="2"/>
    </font>
    <font>
      <sz val="18"/>
      <color indexed="9"/>
      <name val="Times New Roman"/>
      <family val="2"/>
    </font>
    <font>
      <sz val="10"/>
      <color indexed="9"/>
      <name val="Times New Roman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20"/>
      <color indexed="60"/>
      <name val="Arial"/>
      <family val="2"/>
    </font>
    <font>
      <b/>
      <sz val="4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sz val="16"/>
      <color indexed="13"/>
      <name val="Times New Roman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3"/>
      <name val="Times New Roman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2"/>
    </font>
    <font>
      <b/>
      <sz val="13"/>
      <color indexed="10"/>
      <name val="Arial"/>
      <family val="2"/>
    </font>
    <font>
      <i/>
      <u val="single"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25"/>
      <color indexed="8"/>
      <name val="Times New Roman"/>
      <family val="1"/>
    </font>
    <font>
      <sz val="24"/>
      <color indexed="15"/>
      <name val="Times New Roman"/>
      <family val="2"/>
    </font>
    <font>
      <sz val="20"/>
      <color indexed="15"/>
      <name val="Times New Roman"/>
      <family val="2"/>
    </font>
    <font>
      <sz val="18"/>
      <color indexed="15"/>
      <name val="Times New Roman"/>
      <family val="2"/>
    </font>
    <font>
      <sz val="12"/>
      <color indexed="13"/>
      <name val="Times New Roman"/>
      <family val="2"/>
    </font>
    <font>
      <sz val="24"/>
      <color indexed="11"/>
      <name val="Times New Roman"/>
      <family val="2"/>
    </font>
    <font>
      <sz val="20"/>
      <color indexed="11"/>
      <name val="Times New Roman"/>
      <family val="2"/>
    </font>
    <font>
      <b/>
      <sz val="20"/>
      <color indexed="11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8"/>
      <name val="Times New Roman"/>
      <family val="1"/>
    </font>
    <font>
      <i/>
      <sz val="18"/>
      <color indexed="8"/>
      <name val="Times New Roman"/>
      <family val="1"/>
    </font>
    <font>
      <sz val="15"/>
      <color indexed="9"/>
      <name val="Times New Roman"/>
      <family val="2"/>
    </font>
    <font>
      <sz val="15"/>
      <color indexed="8"/>
      <name val="Times New Roman"/>
      <family val="2"/>
    </font>
    <font>
      <b/>
      <u val="single"/>
      <sz val="30"/>
      <color indexed="8"/>
      <name val="Times New Roman"/>
      <family val="1"/>
    </font>
    <font>
      <sz val="30"/>
      <color indexed="8"/>
      <name val="Times New Roman"/>
      <family val="2"/>
    </font>
    <font>
      <i/>
      <sz val="28"/>
      <color indexed="8"/>
      <name val="Times New Roman"/>
      <family val="1"/>
    </font>
    <font>
      <sz val="20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3"/>
      <name val="Times New Roman"/>
      <family val="1"/>
    </font>
    <font>
      <i/>
      <sz val="14"/>
      <color indexed="8"/>
      <name val="Times New Roman"/>
      <family val="1"/>
    </font>
    <font>
      <b/>
      <i/>
      <sz val="16"/>
      <color indexed="9"/>
      <name val="Times New Roman"/>
      <family val="1"/>
    </font>
    <font>
      <b/>
      <i/>
      <sz val="2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13"/>
      <name val="Times New Roman"/>
      <family val="1"/>
    </font>
    <font>
      <b/>
      <u val="single"/>
      <sz val="18"/>
      <color indexed="8"/>
      <name val="Times New Roman"/>
      <family val="1"/>
    </font>
    <font>
      <b/>
      <i/>
      <sz val="14"/>
      <color indexed="9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13"/>
      <name val="Times New Roman"/>
      <family val="1"/>
    </font>
    <font>
      <b/>
      <i/>
      <sz val="10"/>
      <color indexed="9"/>
      <name val="Times New Roman"/>
      <family val="1"/>
    </font>
    <font>
      <i/>
      <sz val="16"/>
      <color indexed="13"/>
      <name val="Times New Roman"/>
      <family val="1"/>
    </font>
    <font>
      <b/>
      <u val="single"/>
      <sz val="16"/>
      <color indexed="10"/>
      <name val="Times New Roman"/>
      <family val="1"/>
    </font>
    <font>
      <b/>
      <u val="single"/>
      <sz val="20"/>
      <color indexed="13"/>
      <name val="Times New Roman"/>
      <family val="1"/>
    </font>
    <font>
      <b/>
      <u val="single"/>
      <sz val="16"/>
      <color indexed="13"/>
      <name val="Times New Roman"/>
      <family val="1"/>
    </font>
    <font>
      <sz val="16"/>
      <color indexed="8"/>
      <name val="Times New Roman"/>
      <family val="2"/>
    </font>
    <font>
      <sz val="25"/>
      <color indexed="10"/>
      <name val="Times New Roman"/>
      <family val="1"/>
    </font>
    <font>
      <b/>
      <i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imes New Roman"/>
      <family val="2"/>
    </font>
    <font>
      <sz val="14"/>
      <color rgb="FFFFFF00"/>
      <name val="Times New Roman"/>
      <family val="2"/>
    </font>
    <font>
      <sz val="10"/>
      <color theme="1"/>
      <name val="Times New Roman"/>
      <family val="2"/>
    </font>
    <font>
      <sz val="10"/>
      <color rgb="FFFFFF00"/>
      <name val="Times New Roman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rgb="FFC00000"/>
      <name val="Times New Roman"/>
      <family val="1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rgb="FFFFFF00"/>
      <name val="Arial"/>
      <family val="2"/>
    </font>
    <font>
      <b/>
      <sz val="20"/>
      <color theme="1"/>
      <name val="Times New Roman"/>
      <family val="1"/>
    </font>
    <font>
      <b/>
      <sz val="18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20"/>
      <color theme="1"/>
      <name val="Arial"/>
      <family val="2"/>
    </font>
    <font>
      <b/>
      <sz val="20"/>
      <color theme="0"/>
      <name val="Arial"/>
      <family val="2"/>
    </font>
    <font>
      <b/>
      <sz val="20"/>
      <color rgb="FFFFFF00"/>
      <name val="Arial"/>
      <family val="2"/>
    </font>
    <font>
      <b/>
      <sz val="20"/>
      <color rgb="FFFF0000"/>
      <name val="Arial"/>
      <family val="2"/>
    </font>
    <font>
      <sz val="18"/>
      <color rgb="FFFF0000"/>
      <name val="Times New Roman"/>
      <family val="2"/>
    </font>
    <font>
      <sz val="18"/>
      <color rgb="FFFFFF00"/>
      <name val="Times New Roman"/>
      <family val="2"/>
    </font>
    <font>
      <sz val="20"/>
      <color theme="1"/>
      <name val="Times New Roman"/>
      <family val="2"/>
    </font>
    <font>
      <b/>
      <sz val="25"/>
      <color theme="0"/>
      <name val="Times New Roman"/>
      <family val="1"/>
    </font>
    <font>
      <b/>
      <sz val="30"/>
      <color theme="0"/>
      <name val="Arial"/>
      <family val="2"/>
    </font>
    <font>
      <b/>
      <sz val="18"/>
      <color rgb="FFFF0000"/>
      <name val="Times New Roman"/>
      <family val="1"/>
    </font>
    <font>
      <b/>
      <sz val="18"/>
      <color rgb="FF00B0F0"/>
      <name val="Times New Roman"/>
      <family val="1"/>
    </font>
    <font>
      <sz val="12"/>
      <color rgb="FF212529"/>
      <name val="Arial"/>
      <family val="2"/>
    </font>
    <font>
      <b/>
      <sz val="30"/>
      <color rgb="FFFF0000"/>
      <name val="Arial"/>
      <family val="2"/>
    </font>
    <font>
      <sz val="25"/>
      <color rgb="FF000000"/>
      <name val="Calibri"/>
      <family val="2"/>
    </font>
    <font>
      <u val="single"/>
      <sz val="20"/>
      <color theme="1"/>
      <name val="Times New Roman"/>
      <family val="2"/>
    </font>
    <font>
      <sz val="12"/>
      <color theme="1"/>
      <name val="Times New Roman"/>
      <family val="2"/>
    </font>
    <font>
      <b/>
      <sz val="20"/>
      <color theme="0"/>
      <name val="Times New Roman"/>
      <family val="1"/>
    </font>
    <font>
      <b/>
      <sz val="20"/>
      <color rgb="FFFFFF00"/>
      <name val="Times New Roman"/>
      <family val="1"/>
    </font>
    <font>
      <sz val="13"/>
      <color theme="1"/>
      <name val="Times New Roman"/>
      <family val="2"/>
    </font>
    <font>
      <b/>
      <i/>
      <u val="single"/>
      <sz val="16"/>
      <color rgb="FFFF0000"/>
      <name val="Times New Roman"/>
      <family val="1"/>
    </font>
    <font>
      <sz val="12"/>
      <color theme="0"/>
      <name val="Times New Roman"/>
      <family val="2"/>
    </font>
    <font>
      <b/>
      <sz val="18"/>
      <color theme="0"/>
      <name val="Times New Roman"/>
      <family val="1"/>
    </font>
    <font>
      <sz val="20"/>
      <color theme="0"/>
      <name val="Times New Roman"/>
      <family val="2"/>
    </font>
    <font>
      <sz val="18"/>
      <color theme="0"/>
      <name val="Times New Roman"/>
      <family val="2"/>
    </font>
    <font>
      <sz val="10"/>
      <color theme="0"/>
      <name val="Times New Roman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b/>
      <sz val="20"/>
      <color rgb="FFC00000"/>
      <name val="Arial"/>
      <family val="2"/>
    </font>
    <font>
      <b/>
      <sz val="40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sz val="16"/>
      <color rgb="FFFFFF00"/>
      <name val="Times New Roman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24"/>
      <color rgb="FFFFFF00"/>
      <name val="Times New Roman"/>
      <family val="2"/>
    </font>
    <font>
      <b/>
      <sz val="16"/>
      <color theme="1"/>
      <name val="Times New Roman"/>
      <family val="1"/>
    </font>
    <font>
      <sz val="18"/>
      <color theme="1"/>
      <name val="Times New Roman"/>
      <family val="2"/>
    </font>
    <font>
      <b/>
      <sz val="13"/>
      <color rgb="FFFF0000"/>
      <name val="Arial"/>
      <family val="2"/>
    </font>
    <font>
      <i/>
      <u val="single"/>
      <sz val="15"/>
      <color theme="1"/>
      <name val="Times New Roman"/>
      <family val="1"/>
    </font>
    <font>
      <i/>
      <sz val="15"/>
      <color theme="1"/>
      <name val="Times New Roman"/>
      <family val="1"/>
    </font>
    <font>
      <sz val="20"/>
      <color theme="1"/>
      <name val="Krishna"/>
      <family val="0"/>
    </font>
    <font>
      <i/>
      <sz val="20"/>
      <color rgb="FFFF0000"/>
      <name val="Krishna"/>
      <family val="0"/>
    </font>
    <font>
      <i/>
      <sz val="20"/>
      <color rgb="FFFF0000"/>
      <name val="Times New Roman"/>
      <family val="1"/>
    </font>
    <font>
      <i/>
      <sz val="12"/>
      <color theme="1"/>
      <name val="Times New Roman"/>
      <family val="1"/>
    </font>
    <font>
      <b/>
      <u val="single"/>
      <sz val="20"/>
      <color theme="1"/>
      <name val="Krishna"/>
      <family val="0"/>
    </font>
    <font>
      <sz val="25"/>
      <color theme="1"/>
      <name val="Times New Roman"/>
      <family val="1"/>
    </font>
    <font>
      <sz val="24"/>
      <color rgb="FF00FF99"/>
      <name val="Times New Roman"/>
      <family val="2"/>
    </font>
    <font>
      <sz val="20"/>
      <color rgb="FF00FF99"/>
      <name val="Times New Roman"/>
      <family val="2"/>
    </font>
    <font>
      <sz val="18"/>
      <color rgb="FF00FF99"/>
      <name val="Times New Roman"/>
      <family val="2"/>
    </font>
    <font>
      <sz val="12"/>
      <color rgb="FFFFFF00"/>
      <name val="Times New Roman"/>
      <family val="2"/>
    </font>
    <font>
      <b/>
      <u val="single"/>
      <sz val="20"/>
      <color theme="1"/>
      <name val="Times New Roman"/>
      <family val="1"/>
    </font>
    <font>
      <sz val="24"/>
      <color rgb="FF66FF66"/>
      <name val="Times New Roman"/>
      <family val="2"/>
    </font>
    <font>
      <sz val="20"/>
      <color rgb="FF66FF66"/>
      <name val="Times New Roman"/>
      <family val="2"/>
    </font>
    <font>
      <b/>
      <sz val="20"/>
      <color rgb="FF66FF66"/>
      <name val="Times New Roman"/>
      <family val="1"/>
    </font>
    <font>
      <b/>
      <sz val="14"/>
      <color rgb="FFFF0000"/>
      <name val="Times New Roman"/>
      <family val="1"/>
    </font>
    <font>
      <i/>
      <sz val="18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u val="single"/>
      <sz val="30"/>
      <color theme="1"/>
      <name val="Times New Roman"/>
      <family val="1"/>
    </font>
    <font>
      <sz val="30"/>
      <color theme="1"/>
      <name val="Times New Roman"/>
      <family val="2"/>
    </font>
    <font>
      <i/>
      <sz val="28"/>
      <color theme="1"/>
      <name val="Times New Roman"/>
      <family val="1"/>
    </font>
    <font>
      <sz val="15"/>
      <color theme="1"/>
      <name val="Times New Roman"/>
      <family val="2"/>
    </font>
    <font>
      <sz val="15"/>
      <color theme="0"/>
      <name val="Times New Roman"/>
      <family val="2"/>
    </font>
    <font>
      <i/>
      <sz val="14"/>
      <color theme="1"/>
      <name val="Times New Roman"/>
      <family val="1"/>
    </font>
    <font>
      <b/>
      <i/>
      <sz val="16"/>
      <color theme="0"/>
      <name val="Times New Roman"/>
      <family val="1"/>
    </font>
    <font>
      <b/>
      <i/>
      <sz val="10"/>
      <color theme="0"/>
      <name val="Times New Roman"/>
      <family val="1"/>
    </font>
    <font>
      <i/>
      <sz val="16"/>
      <color rgb="FFFFFF00"/>
      <name val="Times New Roman"/>
      <family val="1"/>
    </font>
    <font>
      <b/>
      <sz val="18"/>
      <color theme="1"/>
      <name val="Times New Roman"/>
      <family val="1"/>
    </font>
    <font>
      <b/>
      <sz val="15"/>
      <color rgb="FFFFFF00"/>
      <name val="Times New Roman"/>
      <family val="1"/>
    </font>
    <font>
      <b/>
      <i/>
      <sz val="14"/>
      <color theme="0"/>
      <name val="Times New Roman"/>
      <family val="1"/>
    </font>
    <font>
      <b/>
      <i/>
      <sz val="20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2"/>
      <color rgb="FFFFFF00"/>
      <name val="Times New Roman"/>
      <family val="1"/>
    </font>
    <font>
      <b/>
      <u val="single"/>
      <sz val="18"/>
      <color theme="1"/>
      <name val="Times New Roman"/>
      <family val="1"/>
    </font>
    <font>
      <sz val="11"/>
      <color rgb="FFFFFF00"/>
      <name val="Times New Roman"/>
      <family val="1"/>
    </font>
    <font>
      <sz val="20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25"/>
      <color rgb="FFFF0000"/>
      <name val="Times New Roman"/>
      <family val="1"/>
    </font>
    <font>
      <sz val="16"/>
      <color theme="1"/>
      <name val="Times New Roman"/>
      <family val="2"/>
    </font>
    <font>
      <b/>
      <u val="single"/>
      <sz val="16"/>
      <color rgb="FFFF0000"/>
      <name val="Times New Roman"/>
      <family val="1"/>
    </font>
    <font>
      <b/>
      <u val="single"/>
      <sz val="20"/>
      <color rgb="FFFFFF00"/>
      <name val="Times New Roman"/>
      <family val="1"/>
    </font>
    <font>
      <b/>
      <u val="single"/>
      <sz val="16"/>
      <color rgb="FFFFFF00"/>
      <name val="Times New Roman"/>
      <family val="1"/>
    </font>
    <font>
      <b/>
      <i/>
      <sz val="12"/>
      <color theme="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>
        <color rgb="FFFFFFFF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/>
      <right/>
      <top style="medium">
        <color rgb="FF0000FF"/>
      </top>
      <bottom/>
    </border>
    <border>
      <left/>
      <right/>
      <top/>
      <bottom style="medium">
        <color rgb="FF0000F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/>
      <right style="medium"/>
      <top style="thick"/>
      <bottom style="medium"/>
    </border>
    <border>
      <left/>
      <right style="medium"/>
      <top style="medium"/>
      <bottom style="thick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FF"/>
      </right>
      <top/>
      <bottom style="medium">
        <color rgb="FF0000FF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medium">
        <color rgb="FF0000FF"/>
      </right>
      <top style="medium">
        <color rgb="FF0000FF"/>
      </top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 style="medium"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/>
      <right/>
      <top/>
      <bottom style="medium">
        <color rgb="FF000000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/>
      <right style="thin"/>
      <top style="medium"/>
      <bottom/>
    </border>
    <border>
      <left style="thin">
        <color rgb="FFFFFF00"/>
      </left>
      <right/>
      <top style="thin">
        <color rgb="FFFFFF00"/>
      </top>
      <bottom style="medium"/>
    </border>
    <border>
      <left/>
      <right style="thin">
        <color rgb="FFFFFF00"/>
      </right>
      <top style="thin">
        <color rgb="FFFFFF00"/>
      </top>
      <bottom style="medium"/>
    </border>
    <border>
      <left/>
      <right style="thin">
        <color rgb="FFFFFF00"/>
      </right>
      <top style="medium"/>
      <bottom/>
    </border>
    <border>
      <left/>
      <right style="thin">
        <color rgb="FFFFFF00"/>
      </right>
      <top/>
      <bottom style="medium"/>
    </border>
    <border>
      <left style="thin">
        <color rgb="FFFFFF00"/>
      </left>
      <right style="thin">
        <color rgb="FFFFFF00"/>
      </right>
      <top style="medium"/>
      <bottom/>
    </border>
    <border>
      <left style="thin">
        <color rgb="FFFFFF00"/>
      </left>
      <right style="thin">
        <color rgb="FFFFFF00"/>
      </right>
      <top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>
        <color rgb="FF0000FF"/>
      </right>
      <top style="medium"/>
      <bottom/>
    </border>
    <border>
      <left/>
      <right style="medium">
        <color rgb="FF0000FF"/>
      </right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>
        <color rgb="FFFFFF00"/>
      </left>
      <right style="thin">
        <color rgb="FFFFFF00"/>
      </right>
      <top style="medium"/>
      <bottom style="thin">
        <color rgb="FFFFFF00"/>
      </bottom>
    </border>
    <border>
      <left style="medium"/>
      <right style="medium"/>
      <top/>
      <bottom/>
    </border>
    <border>
      <left/>
      <right/>
      <top style="thin">
        <color rgb="FFFFFF00"/>
      </top>
      <bottom style="medium"/>
    </border>
    <border>
      <left style="medium">
        <color theme="1"/>
      </left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ck">
        <color rgb="FFFFFF00"/>
      </top>
      <bottom style="thin"/>
    </border>
    <border>
      <left/>
      <right style="thin"/>
      <top style="thin"/>
      <bottom style="thick">
        <color rgb="FFFFFF00"/>
      </bottom>
    </border>
    <border>
      <left style="medium">
        <color theme="1"/>
      </left>
      <right style="thick">
        <color rgb="FFFFFF00"/>
      </right>
      <top style="medium"/>
      <bottom style="medium">
        <color theme="1"/>
      </bottom>
    </border>
    <border>
      <left style="medium">
        <color theme="1"/>
      </left>
      <right style="thick">
        <color rgb="FFFFFF00"/>
      </right>
      <top style="medium">
        <color theme="1"/>
      </top>
      <bottom style="medium"/>
    </border>
    <border>
      <left style="thick">
        <color rgb="FFFFFF00"/>
      </left>
      <right style="thick">
        <color rgb="FFFFFF00"/>
      </right>
      <top style="medium"/>
      <bottom style="medium">
        <color theme="1"/>
      </bottom>
    </border>
    <border>
      <left style="thick">
        <color rgb="FFFFFF00"/>
      </left>
      <right style="thick">
        <color rgb="FFFFFF00"/>
      </right>
      <top style="medium">
        <color theme="1"/>
      </top>
      <bottom style="medium"/>
    </border>
    <border>
      <left/>
      <right style="medium">
        <color theme="1"/>
      </right>
      <top style="medium"/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/>
    </border>
    <border>
      <left style="thick">
        <color rgb="FFFFFF00"/>
      </left>
      <right style="thick">
        <color rgb="FFFFFF00"/>
      </right>
      <top style="thick">
        <color rgb="FFFFFF00"/>
      </top>
      <bottom style="medium">
        <color theme="1"/>
      </bottom>
    </border>
    <border>
      <left style="thick">
        <color rgb="FFFFFF00"/>
      </left>
      <right style="thick">
        <color rgb="FFFFFF00"/>
      </right>
      <top style="medium">
        <color theme="1"/>
      </top>
      <bottom style="thick">
        <color rgb="FFFFFF00"/>
      </bottom>
    </border>
    <border>
      <left style="thick">
        <color rgb="FFFFFF00"/>
      </left>
      <right/>
      <top style="thick">
        <color rgb="FFFFFF00"/>
      </top>
      <bottom style="medium">
        <color theme="1"/>
      </bottom>
    </border>
    <border>
      <left style="thick">
        <color rgb="FFFFFF00"/>
      </left>
      <right/>
      <top style="medium">
        <color theme="1"/>
      </top>
      <bottom style="thick">
        <color rgb="FFFFFF00"/>
      </bottom>
    </border>
    <border>
      <left style="medium"/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 style="medium">
        <color theme="1"/>
      </right>
      <top style="medium"/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>
        <color rgb="FF0000FF"/>
      </left>
      <right/>
      <top style="medium">
        <color rgb="FF0000FF"/>
      </top>
      <bottom/>
    </border>
    <border>
      <left style="medium">
        <color rgb="FF0000FF"/>
      </left>
      <right/>
      <top/>
      <bottom/>
    </border>
    <border>
      <left/>
      <right style="thin">
        <color rgb="FFFFFF00"/>
      </right>
      <top/>
      <bottom/>
    </border>
    <border>
      <left/>
      <right/>
      <top/>
      <bottom style="thick">
        <color rgb="FFFFFF00"/>
      </bottom>
    </border>
    <border>
      <left/>
      <right style="medium">
        <color theme="1"/>
      </right>
      <top style="medium">
        <color theme="1"/>
      </top>
      <bottom style="thick">
        <color rgb="FFFFFF00"/>
      </bottom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rgb="FFFFFF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2" borderId="0" applyNumberFormat="0" applyBorder="0" applyAlignment="0" applyProtection="0"/>
    <xf numFmtId="0" fontId="129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11" borderId="0" applyNumberFormat="0" applyBorder="0" applyAlignment="0" applyProtection="0"/>
    <xf numFmtId="0" fontId="129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126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11" borderId="10" xfId="0" applyFill="1" applyBorder="1" applyAlignment="1" applyProtection="1">
      <alignment horizontal="center" vertical="center" wrapText="1"/>
      <protection locked="0"/>
    </xf>
    <xf numFmtId="0" fontId="0" fillId="17" borderId="10" xfId="0" applyFill="1" applyBorder="1" applyAlignment="1" applyProtection="1">
      <alignment horizontal="center" vertical="center" wrapText="1"/>
      <protection locked="0"/>
    </xf>
    <xf numFmtId="0" fontId="147" fillId="33" borderId="10" xfId="0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10" borderId="10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13" borderId="10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148" fillId="35" borderId="10" xfId="0" applyFont="1" applyFill="1" applyBorder="1" applyAlignment="1" applyProtection="1">
      <alignment horizontal="center" vertical="center" wrapText="1"/>
      <protection locked="0"/>
    </xf>
    <xf numFmtId="16" fontId="0" fillId="11" borderId="10" xfId="0" applyNumberFormat="1" applyFill="1" applyBorder="1" applyAlignment="1" applyProtection="1">
      <alignment horizontal="center" vertical="center" wrapText="1"/>
      <protection locked="0"/>
    </xf>
    <xf numFmtId="16" fontId="0" fillId="4" borderId="10" xfId="0" applyNumberFormat="1" applyFill="1" applyBorder="1" applyAlignment="1" applyProtection="1">
      <alignment horizontal="center" vertical="center" wrapText="1"/>
      <protection locked="0"/>
    </xf>
    <xf numFmtId="16" fontId="0" fillId="7" borderId="10" xfId="0" applyNumberFormat="1" applyFill="1" applyBorder="1" applyAlignment="1" applyProtection="1">
      <alignment horizontal="center" vertical="center" wrapText="1"/>
      <protection locked="0"/>
    </xf>
    <xf numFmtId="16" fontId="0" fillId="13" borderId="10" xfId="0" applyNumberFormat="1" applyFill="1" applyBorder="1" applyAlignment="1" applyProtection="1">
      <alignment horizontal="center" vertical="center" wrapText="1"/>
      <protection locked="0"/>
    </xf>
    <xf numFmtId="16" fontId="0" fillId="34" borderId="10" xfId="0" applyNumberFormat="1" applyFill="1" applyBorder="1" applyAlignment="1" applyProtection="1">
      <alignment horizontal="center" vertical="center" wrapText="1"/>
      <protection locked="0"/>
    </xf>
    <xf numFmtId="16" fontId="14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149" fillId="12" borderId="10" xfId="0" applyFont="1" applyFill="1" applyBorder="1" applyAlignment="1">
      <alignment horizontal="center" vertical="center"/>
    </xf>
    <xf numFmtId="0" fontId="149" fillId="4" borderId="10" xfId="0" applyFont="1" applyFill="1" applyBorder="1" applyAlignment="1">
      <alignment horizontal="center" vertical="center"/>
    </xf>
    <xf numFmtId="0" fontId="149" fillId="10" borderId="10" xfId="0" applyFont="1" applyFill="1" applyBorder="1" applyAlignment="1">
      <alignment horizontal="center" vertical="center"/>
    </xf>
    <xf numFmtId="0" fontId="149" fillId="7" borderId="10" xfId="0" applyFont="1" applyFill="1" applyBorder="1" applyAlignment="1">
      <alignment horizontal="center" vertical="center"/>
    </xf>
    <xf numFmtId="0" fontId="149" fillId="13" borderId="10" xfId="0" applyFont="1" applyFill="1" applyBorder="1" applyAlignment="1">
      <alignment horizontal="center" vertical="center"/>
    </xf>
    <xf numFmtId="0" fontId="149" fillId="34" borderId="10" xfId="0" applyFont="1" applyFill="1" applyBorder="1" applyAlignment="1">
      <alignment horizontal="center" vertical="center"/>
    </xf>
    <xf numFmtId="0" fontId="150" fillId="35" borderId="10" xfId="0" applyFont="1" applyFill="1" applyBorder="1" applyAlignment="1">
      <alignment horizontal="center" vertical="center"/>
    </xf>
    <xf numFmtId="0" fontId="149" fillId="0" borderId="10" xfId="0" applyFont="1" applyBorder="1" applyAlignment="1">
      <alignment horizontal="center" vertical="center"/>
    </xf>
    <xf numFmtId="0" fontId="149" fillId="0" borderId="0" xfId="0" applyFont="1" applyAlignment="1">
      <alignment horizontal="center" vertical="center"/>
    </xf>
    <xf numFmtId="0" fontId="151" fillId="5" borderId="10" xfId="0" applyFont="1" applyFill="1" applyBorder="1" applyAlignment="1">
      <alignment horizontal="center" vertical="center"/>
    </xf>
    <xf numFmtId="0" fontId="152" fillId="17" borderId="10" xfId="0" applyFont="1" applyFill="1" applyBorder="1" applyAlignment="1">
      <alignment horizontal="center" vertical="center"/>
    </xf>
    <xf numFmtId="0" fontId="153" fillId="36" borderId="13" xfId="0" applyFont="1" applyFill="1" applyBorder="1" applyAlignment="1">
      <alignment horizontal="center" vertical="center"/>
    </xf>
    <xf numFmtId="0" fontId="153" fillId="36" borderId="10" xfId="0" applyFont="1" applyFill="1" applyBorder="1" applyAlignment="1">
      <alignment horizontal="center" vertical="center"/>
    </xf>
    <xf numFmtId="0" fontId="147" fillId="36" borderId="12" xfId="0" applyFont="1" applyFill="1" applyBorder="1" applyAlignment="1" applyProtection="1">
      <alignment horizontal="center" vertical="center" wrapText="1"/>
      <protection locked="0"/>
    </xf>
    <xf numFmtId="0" fontId="147" fillId="36" borderId="11" xfId="0" applyFont="1" applyFill="1" applyBorder="1" applyAlignment="1" applyProtection="1">
      <alignment horizontal="center" vertical="center" wrapText="1"/>
      <protection locked="0"/>
    </xf>
    <xf numFmtId="0" fontId="153" fillId="33" borderId="13" xfId="0" applyFont="1" applyFill="1" applyBorder="1" applyAlignment="1">
      <alignment horizontal="center" vertical="center"/>
    </xf>
    <xf numFmtId="0" fontId="153" fillId="33" borderId="10" xfId="0" applyFont="1" applyFill="1" applyBorder="1" applyAlignment="1">
      <alignment horizontal="center" vertical="center"/>
    </xf>
    <xf numFmtId="0" fontId="147" fillId="33" borderId="12" xfId="0" applyFont="1" applyFill="1" applyBorder="1" applyAlignment="1" applyProtection="1">
      <alignment horizontal="center" vertical="center" wrapText="1"/>
      <protection locked="0"/>
    </xf>
    <xf numFmtId="0" fontId="147" fillId="33" borderId="11" xfId="0" applyFont="1" applyFill="1" applyBorder="1" applyAlignment="1" applyProtection="1">
      <alignment horizontal="center" vertical="center" wrapText="1"/>
      <protection locked="0"/>
    </xf>
    <xf numFmtId="0" fontId="154" fillId="17" borderId="14" xfId="0" applyFont="1" applyFill="1" applyBorder="1" applyAlignment="1" applyProtection="1">
      <alignment horizontal="center" vertical="center" wrapText="1"/>
      <protection/>
    </xf>
    <xf numFmtId="0" fontId="154" fillId="11" borderId="14" xfId="0" applyFont="1" applyFill="1" applyBorder="1" applyAlignment="1" applyProtection="1">
      <alignment horizontal="center" vertical="center" wrapText="1"/>
      <protection/>
    </xf>
    <xf numFmtId="0" fontId="3" fillId="6" borderId="1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155" fillId="17" borderId="10" xfId="0" applyFont="1" applyFill="1" applyBorder="1" applyAlignment="1">
      <alignment horizontal="center" vertical="center"/>
    </xf>
    <xf numFmtId="0" fontId="154" fillId="6" borderId="14" xfId="0" applyFont="1" applyFill="1" applyBorder="1" applyAlignment="1" applyProtection="1">
      <alignment horizontal="center" vertical="center" wrapText="1"/>
      <protection/>
    </xf>
    <xf numFmtId="0" fontId="155" fillId="6" borderId="10" xfId="0" applyFont="1" applyFill="1" applyBorder="1" applyAlignment="1">
      <alignment horizontal="center" vertical="center"/>
    </xf>
    <xf numFmtId="0" fontId="4" fillId="12" borderId="12" xfId="0" applyFont="1" applyFill="1" applyBorder="1" applyAlignment="1" applyProtection="1">
      <alignment horizontal="center" vertical="center" wrapText="1"/>
      <protection locked="0"/>
    </xf>
    <xf numFmtId="0" fontId="4" fillId="12" borderId="11" xfId="0" applyFont="1" applyFill="1" applyBorder="1" applyAlignment="1" applyProtection="1">
      <alignment horizontal="center" vertical="center" wrapText="1"/>
      <protection locked="0"/>
    </xf>
    <xf numFmtId="0" fontId="154" fillId="12" borderId="14" xfId="0" applyFont="1" applyFill="1" applyBorder="1" applyAlignment="1" applyProtection="1">
      <alignment horizontal="center" vertical="center" wrapText="1"/>
      <protection/>
    </xf>
    <xf numFmtId="0" fontId="155" fillId="12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154" fillId="4" borderId="14" xfId="0" applyFont="1" applyFill="1" applyBorder="1" applyAlignment="1" applyProtection="1">
      <alignment horizontal="center" vertical="center" wrapText="1"/>
      <protection/>
    </xf>
    <xf numFmtId="0" fontId="156" fillId="4" borderId="10" xfId="0" applyFont="1" applyFill="1" applyBorder="1" applyAlignment="1">
      <alignment horizontal="center" vertical="center"/>
    </xf>
    <xf numFmtId="0" fontId="154" fillId="10" borderId="14" xfId="0" applyFont="1" applyFill="1" applyBorder="1" applyAlignment="1" applyProtection="1">
      <alignment horizontal="center" vertical="center" wrapText="1"/>
      <protection/>
    </xf>
    <xf numFmtId="0" fontId="156" fillId="10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 applyProtection="1">
      <alignment horizontal="center" vertical="center" wrapText="1"/>
      <protection locked="0"/>
    </xf>
    <xf numFmtId="0" fontId="154" fillId="13" borderId="14" xfId="0" applyFont="1" applyFill="1" applyBorder="1" applyAlignment="1" applyProtection="1">
      <alignment horizontal="center" vertical="center" wrapText="1"/>
      <protection/>
    </xf>
    <xf numFmtId="0" fontId="156" fillId="13" borderId="10" xfId="0" applyFont="1" applyFill="1" applyBorder="1" applyAlignment="1">
      <alignment horizontal="center" vertical="center"/>
    </xf>
    <xf numFmtId="0" fontId="154" fillId="7" borderId="14" xfId="0" applyFont="1" applyFill="1" applyBorder="1" applyAlignment="1" applyProtection="1">
      <alignment horizontal="center" vertical="center" wrapText="1"/>
      <protection/>
    </xf>
    <xf numFmtId="0" fontId="156" fillId="7" borderId="10" xfId="0" applyFont="1" applyFill="1" applyBorder="1" applyAlignment="1">
      <alignment horizontal="center" vertical="center"/>
    </xf>
    <xf numFmtId="0" fontId="154" fillId="34" borderId="14" xfId="0" applyFont="1" applyFill="1" applyBorder="1" applyAlignment="1" applyProtection="1">
      <alignment horizontal="center" vertical="center" wrapText="1"/>
      <protection/>
    </xf>
    <xf numFmtId="0" fontId="156" fillId="34" borderId="10" xfId="0" applyFont="1" applyFill="1" applyBorder="1" applyAlignment="1">
      <alignment horizontal="center" vertical="center"/>
    </xf>
    <xf numFmtId="0" fontId="157" fillId="35" borderId="10" xfId="0" applyFont="1" applyFill="1" applyBorder="1" applyAlignment="1">
      <alignment horizontal="center" vertical="center"/>
    </xf>
    <xf numFmtId="0" fontId="158" fillId="0" borderId="10" xfId="0" applyFont="1" applyBorder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1" fillId="4" borderId="10" xfId="0" applyFont="1" applyFill="1" applyBorder="1" applyAlignment="1">
      <alignment horizontal="center" vertical="center"/>
    </xf>
    <xf numFmtId="0" fontId="152" fillId="11" borderId="10" xfId="0" applyFont="1" applyFill="1" applyBorder="1" applyAlignment="1">
      <alignment horizontal="center" vertical="center"/>
    </xf>
    <xf numFmtId="0" fontId="156" fillId="11" borderId="10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11" borderId="11" xfId="0" applyFill="1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37" borderId="11" xfId="0" applyFill="1" applyBorder="1" applyAlignment="1" applyProtection="1">
      <alignment horizontal="center" vertical="center" wrapText="1"/>
      <protection locked="0"/>
    </xf>
    <xf numFmtId="0" fontId="0" fillId="17" borderId="11" xfId="0" applyFill="1" applyBorder="1" applyAlignment="1" applyProtection="1">
      <alignment horizontal="center" vertical="center" wrapText="1"/>
      <protection locked="0"/>
    </xf>
    <xf numFmtId="0" fontId="0" fillId="38" borderId="11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155" fillId="4" borderId="10" xfId="0" applyFont="1" applyFill="1" applyBorder="1" applyAlignment="1">
      <alignment horizontal="center" vertical="center"/>
    </xf>
    <xf numFmtId="0" fontId="0" fillId="10" borderId="12" xfId="0" applyFill="1" applyBorder="1" applyAlignment="1" applyProtection="1">
      <alignment horizontal="center" vertical="center" wrapText="1"/>
      <protection locked="0"/>
    </xf>
    <xf numFmtId="0" fontId="0" fillId="7" borderId="12" xfId="0" applyFill="1" applyBorder="1" applyAlignment="1" applyProtection="1">
      <alignment horizontal="center" vertical="center" wrapText="1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151" fillId="7" borderId="10" xfId="0" applyFont="1" applyFill="1" applyBorder="1" applyAlignment="1">
      <alignment horizontal="center" vertical="center"/>
    </xf>
    <xf numFmtId="0" fontId="155" fillId="7" borderId="10" xfId="0" applyFont="1" applyFill="1" applyBorder="1" applyAlignment="1">
      <alignment horizontal="center" vertic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0" fillId="13" borderId="11" xfId="0" applyFill="1" applyBorder="1" applyAlignment="1" applyProtection="1">
      <alignment horizontal="center" vertical="center" wrapText="1"/>
      <protection locked="0"/>
    </xf>
    <xf numFmtId="0" fontId="155" fillId="13" borderId="10" xfId="0" applyFont="1" applyFill="1" applyBorder="1" applyAlignment="1">
      <alignment horizontal="center" vertical="center"/>
    </xf>
    <xf numFmtId="0" fontId="149" fillId="19" borderId="10" xfId="0" applyFont="1" applyFill="1" applyBorder="1" applyAlignment="1">
      <alignment horizontal="center" vertical="center"/>
    </xf>
    <xf numFmtId="0" fontId="0" fillId="19" borderId="12" xfId="0" applyFill="1" applyBorder="1" applyAlignment="1" applyProtection="1">
      <alignment horizontal="center" vertical="center" wrapText="1"/>
      <protection locked="0"/>
    </xf>
    <xf numFmtId="0" fontId="4" fillId="19" borderId="12" xfId="0" applyFont="1" applyFill="1" applyBorder="1" applyAlignment="1" applyProtection="1">
      <alignment horizontal="center" vertical="center" wrapText="1"/>
      <protection locked="0"/>
    </xf>
    <xf numFmtId="0" fontId="4" fillId="19" borderId="11" xfId="0" applyFont="1" applyFill="1" applyBorder="1" applyAlignment="1" applyProtection="1">
      <alignment horizontal="center" vertical="center" wrapText="1"/>
      <protection locked="0"/>
    </xf>
    <xf numFmtId="0" fontId="0" fillId="19" borderId="11" xfId="0" applyFill="1" applyBorder="1" applyAlignment="1" applyProtection="1">
      <alignment horizontal="center" vertical="center" wrapText="1"/>
      <protection locked="0"/>
    </xf>
    <xf numFmtId="0" fontId="155" fillId="19" borderId="10" xfId="0" applyFont="1" applyFill="1" applyBorder="1" applyAlignment="1">
      <alignment horizontal="center" vertical="center"/>
    </xf>
    <xf numFmtId="0" fontId="155" fillId="38" borderId="10" xfId="0" applyFont="1" applyFill="1" applyBorder="1" applyAlignment="1">
      <alignment horizontal="center" vertical="center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4" fillId="38" borderId="12" xfId="0" applyFont="1" applyFill="1" applyBorder="1" applyAlignment="1" applyProtection="1">
      <alignment horizontal="center" vertical="center" wrapText="1"/>
      <protection locked="0"/>
    </xf>
    <xf numFmtId="0" fontId="4" fillId="38" borderId="11" xfId="0" applyFont="1" applyFill="1" applyBorder="1" applyAlignment="1" applyProtection="1">
      <alignment horizontal="center" vertical="center" wrapText="1"/>
      <protection locked="0"/>
    </xf>
    <xf numFmtId="0" fontId="155" fillId="37" borderId="10" xfId="0" applyFont="1" applyFill="1" applyBorder="1" applyAlignment="1">
      <alignment horizontal="center" vertical="center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 wrapText="1"/>
      <protection locked="0"/>
    </xf>
    <xf numFmtId="0" fontId="155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148" fillId="35" borderId="12" xfId="0" applyFont="1" applyFill="1" applyBorder="1" applyAlignment="1" applyProtection="1">
      <alignment horizontal="center" vertical="center" wrapText="1"/>
      <protection locked="0"/>
    </xf>
    <xf numFmtId="0" fontId="148" fillId="35" borderId="11" xfId="0" applyFont="1" applyFill="1" applyBorder="1" applyAlignment="1" applyProtection="1">
      <alignment horizontal="center" vertical="center" wrapText="1"/>
      <protection locked="0"/>
    </xf>
    <xf numFmtId="0" fontId="157" fillId="39" borderId="10" xfId="0" applyFont="1" applyFill="1" applyBorder="1" applyAlignment="1">
      <alignment horizontal="center" vertical="center"/>
    </xf>
    <xf numFmtId="0" fontId="148" fillId="39" borderId="12" xfId="0" applyFont="1" applyFill="1" applyBorder="1" applyAlignment="1" applyProtection="1">
      <alignment horizontal="center" vertical="center" wrapText="1"/>
      <protection locked="0"/>
    </xf>
    <xf numFmtId="0" fontId="148" fillId="39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54" fillId="37" borderId="14" xfId="0" applyFont="1" applyFill="1" applyBorder="1" applyAlignment="1" applyProtection="1">
      <alignment horizontal="center" vertical="center" wrapText="1"/>
      <protection/>
    </xf>
    <xf numFmtId="0" fontId="159" fillId="39" borderId="14" xfId="0" applyFont="1" applyFill="1" applyBorder="1" applyAlignment="1" applyProtection="1">
      <alignment horizontal="center" vertical="center" wrapText="1"/>
      <protection/>
    </xf>
    <xf numFmtId="0" fontId="159" fillId="35" borderId="14" xfId="0" applyFont="1" applyFill="1" applyBorder="1" applyAlignment="1" applyProtection="1">
      <alignment horizontal="center" vertical="center" wrapText="1"/>
      <protection/>
    </xf>
    <xf numFmtId="0" fontId="160" fillId="35" borderId="14" xfId="0" applyFont="1" applyFill="1" applyBorder="1" applyAlignment="1" applyProtection="1">
      <alignment horizontal="center" vertical="center" wrapText="1"/>
      <protection/>
    </xf>
    <xf numFmtId="0" fontId="161" fillId="5" borderId="15" xfId="0" applyFont="1" applyFill="1" applyBorder="1" applyAlignment="1" applyProtection="1">
      <alignment horizontal="center" vertical="center" wrapText="1"/>
      <protection/>
    </xf>
    <xf numFmtId="0" fontId="161" fillId="11" borderId="15" xfId="0" applyFont="1" applyFill="1" applyBorder="1" applyAlignment="1" applyProtection="1">
      <alignment horizontal="center" vertical="center" wrapText="1"/>
      <protection/>
    </xf>
    <xf numFmtId="0" fontId="161" fillId="17" borderId="15" xfId="0" applyFont="1" applyFill="1" applyBorder="1" applyAlignment="1" applyProtection="1">
      <alignment horizontal="center" vertical="center" wrapText="1"/>
      <protection/>
    </xf>
    <xf numFmtId="0" fontId="162" fillId="33" borderId="15" xfId="0" applyFont="1" applyFill="1" applyBorder="1" applyAlignment="1" applyProtection="1">
      <alignment horizontal="center" vertical="center" wrapText="1"/>
      <protection/>
    </xf>
    <xf numFmtId="0" fontId="162" fillId="36" borderId="15" xfId="0" applyFont="1" applyFill="1" applyBorder="1" applyAlignment="1" applyProtection="1">
      <alignment horizontal="center" vertical="center" wrapText="1"/>
      <protection/>
    </xf>
    <xf numFmtId="0" fontId="2" fillId="6" borderId="15" xfId="0" applyFont="1" applyFill="1" applyBorder="1" applyAlignment="1" applyProtection="1">
      <alignment horizontal="center" vertical="center" wrapText="1"/>
      <protection/>
    </xf>
    <xf numFmtId="0" fontId="161" fillId="6" borderId="15" xfId="0" applyFont="1" applyFill="1" applyBorder="1" applyAlignment="1" applyProtection="1">
      <alignment horizontal="center" vertical="center" wrapText="1"/>
      <protection/>
    </xf>
    <xf numFmtId="0" fontId="2" fillId="12" borderId="15" xfId="0" applyFont="1" applyFill="1" applyBorder="1" applyAlignment="1" applyProtection="1">
      <alignment horizontal="center" vertical="center" wrapText="1"/>
      <protection/>
    </xf>
    <xf numFmtId="0" fontId="161" fillId="12" borderId="15" xfId="0" applyFont="1" applyFill="1" applyBorder="1" applyAlignment="1" applyProtection="1">
      <alignment horizontal="center" vertical="center" wrapText="1"/>
      <protection/>
    </xf>
    <xf numFmtId="0" fontId="161" fillId="4" borderId="15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161" fillId="10" borderId="15" xfId="0" applyFont="1" applyFill="1" applyBorder="1" applyAlignment="1" applyProtection="1">
      <alignment horizontal="center" vertical="center" wrapText="1"/>
      <protection/>
    </xf>
    <xf numFmtId="0" fontId="161" fillId="7" borderId="15" xfId="0" applyFont="1" applyFill="1" applyBorder="1" applyAlignment="1" applyProtection="1">
      <alignment horizontal="center" vertical="center" wrapText="1"/>
      <protection/>
    </xf>
    <xf numFmtId="0" fontId="2" fillId="7" borderId="15" xfId="0" applyFont="1" applyFill="1" applyBorder="1" applyAlignment="1" applyProtection="1">
      <alignment horizontal="center" vertical="center" wrapText="1"/>
      <protection/>
    </xf>
    <xf numFmtId="0" fontId="161" fillId="13" borderId="15" xfId="0" applyFont="1" applyFill="1" applyBorder="1" applyAlignment="1" applyProtection="1">
      <alignment horizontal="center" vertical="center" wrapText="1"/>
      <protection/>
    </xf>
    <xf numFmtId="0" fontId="161" fillId="37" borderId="15" xfId="0" applyFont="1" applyFill="1" applyBorder="1" applyAlignment="1" applyProtection="1">
      <alignment horizontal="center" vertical="center" wrapText="1"/>
      <protection/>
    </xf>
    <xf numFmtId="0" fontId="161" fillId="34" borderId="15" xfId="0" applyFont="1" applyFill="1" applyBorder="1" applyAlignment="1" applyProtection="1">
      <alignment horizontal="center" vertical="center" wrapText="1"/>
      <protection/>
    </xf>
    <xf numFmtId="0" fontId="163" fillId="35" borderId="15" xfId="0" applyFont="1" applyFill="1" applyBorder="1" applyAlignment="1" applyProtection="1">
      <alignment horizontal="center" vertical="center" wrapText="1"/>
      <protection/>
    </xf>
    <xf numFmtId="0" fontId="163" fillId="39" borderId="15" xfId="0" applyFont="1" applyFill="1" applyBorder="1" applyAlignment="1" applyProtection="1">
      <alignment horizontal="center" vertical="center" wrapText="1"/>
      <protection/>
    </xf>
    <xf numFmtId="2" fontId="164" fillId="5" borderId="16" xfId="0" applyNumberFormat="1" applyFont="1" applyFill="1" applyBorder="1" applyAlignment="1">
      <alignment horizontal="center" vertical="center"/>
    </xf>
    <xf numFmtId="2" fontId="164" fillId="11" borderId="16" xfId="0" applyNumberFormat="1" applyFont="1" applyFill="1" applyBorder="1" applyAlignment="1">
      <alignment horizontal="center" vertical="center"/>
    </xf>
    <xf numFmtId="2" fontId="164" fillId="17" borderId="16" xfId="0" applyNumberFormat="1" applyFont="1" applyFill="1" applyBorder="1" applyAlignment="1">
      <alignment horizontal="center" vertical="center"/>
    </xf>
    <xf numFmtId="2" fontId="164" fillId="33" borderId="16" xfId="0" applyNumberFormat="1" applyFont="1" applyFill="1" applyBorder="1" applyAlignment="1">
      <alignment horizontal="center" vertical="center"/>
    </xf>
    <xf numFmtId="2" fontId="164" fillId="36" borderId="16" xfId="0" applyNumberFormat="1" applyFont="1" applyFill="1" applyBorder="1" applyAlignment="1">
      <alignment horizontal="center" vertical="center"/>
    </xf>
    <xf numFmtId="2" fontId="164" fillId="6" borderId="16" xfId="0" applyNumberFormat="1" applyFont="1" applyFill="1" applyBorder="1" applyAlignment="1">
      <alignment horizontal="center" vertical="center"/>
    </xf>
    <xf numFmtId="2" fontId="164" fillId="12" borderId="16" xfId="0" applyNumberFormat="1" applyFont="1" applyFill="1" applyBorder="1" applyAlignment="1">
      <alignment horizontal="center" vertical="center"/>
    </xf>
    <xf numFmtId="2" fontId="164" fillId="4" borderId="16" xfId="0" applyNumberFormat="1" applyFont="1" applyFill="1" applyBorder="1" applyAlignment="1">
      <alignment horizontal="center" vertical="center"/>
    </xf>
    <xf numFmtId="2" fontId="164" fillId="10" borderId="16" xfId="0" applyNumberFormat="1" applyFont="1" applyFill="1" applyBorder="1" applyAlignment="1">
      <alignment horizontal="center" vertical="center"/>
    </xf>
    <xf numFmtId="2" fontId="164" fillId="7" borderId="16" xfId="0" applyNumberFormat="1" applyFont="1" applyFill="1" applyBorder="1" applyAlignment="1">
      <alignment horizontal="center" vertical="center"/>
    </xf>
    <xf numFmtId="2" fontId="164" fillId="13" borderId="16" xfId="0" applyNumberFormat="1" applyFont="1" applyFill="1" applyBorder="1" applyAlignment="1">
      <alignment horizontal="center" vertical="center"/>
    </xf>
    <xf numFmtId="2" fontId="164" fillId="37" borderId="16" xfId="0" applyNumberFormat="1" applyFont="1" applyFill="1" applyBorder="1" applyAlignment="1">
      <alignment horizontal="center" vertical="center"/>
    </xf>
    <xf numFmtId="2" fontId="164" fillId="34" borderId="16" xfId="0" applyNumberFormat="1" applyFont="1" applyFill="1" applyBorder="1" applyAlignment="1">
      <alignment horizontal="center" vertical="center"/>
    </xf>
    <xf numFmtId="2" fontId="163" fillId="35" borderId="16" xfId="0" applyNumberFormat="1" applyFont="1" applyFill="1" applyBorder="1" applyAlignment="1">
      <alignment horizontal="center" vertical="center"/>
    </xf>
    <xf numFmtId="2" fontId="163" fillId="39" borderId="16" xfId="0" applyNumberFormat="1" applyFont="1" applyFill="1" applyBorder="1" applyAlignment="1">
      <alignment horizontal="center" vertical="center"/>
    </xf>
    <xf numFmtId="164" fontId="165" fillId="5" borderId="14" xfId="0" applyNumberFormat="1" applyFont="1" applyFill="1" applyBorder="1" applyAlignment="1" applyProtection="1">
      <alignment horizontal="center" vertical="center" wrapText="1"/>
      <protection/>
    </xf>
    <xf numFmtId="164" fontId="165" fillId="11" borderId="14" xfId="0" applyNumberFormat="1" applyFont="1" applyFill="1" applyBorder="1" applyAlignment="1" applyProtection="1">
      <alignment horizontal="center" vertical="center" wrapText="1"/>
      <protection/>
    </xf>
    <xf numFmtId="165" fontId="165" fillId="11" borderId="14" xfId="0" applyNumberFormat="1" applyFont="1" applyFill="1" applyBorder="1" applyAlignment="1" applyProtection="1">
      <alignment horizontal="center" vertical="center" wrapText="1"/>
      <protection/>
    </xf>
    <xf numFmtId="165" fontId="165" fillId="17" borderId="14" xfId="0" applyNumberFormat="1" applyFont="1" applyFill="1" applyBorder="1" applyAlignment="1" applyProtection="1">
      <alignment horizontal="center" vertical="center" wrapText="1"/>
      <protection/>
    </xf>
    <xf numFmtId="165" fontId="165" fillId="33" borderId="14" xfId="0" applyNumberFormat="1" applyFont="1" applyFill="1" applyBorder="1" applyAlignment="1" applyProtection="1">
      <alignment horizontal="center" vertical="center" wrapText="1"/>
      <protection/>
    </xf>
    <xf numFmtId="164" fontId="165" fillId="33" borderId="14" xfId="0" applyNumberFormat="1" applyFont="1" applyFill="1" applyBorder="1" applyAlignment="1" applyProtection="1">
      <alignment horizontal="center" vertical="center" wrapText="1"/>
      <protection/>
    </xf>
    <xf numFmtId="165" fontId="165" fillId="36" borderId="14" xfId="0" applyNumberFormat="1" applyFont="1" applyFill="1" applyBorder="1" applyAlignment="1" applyProtection="1">
      <alignment horizontal="center" vertical="center" wrapText="1"/>
      <protection/>
    </xf>
    <xf numFmtId="165" fontId="165" fillId="6" borderId="14" xfId="0" applyNumberFormat="1" applyFont="1" applyFill="1" applyBorder="1" applyAlignment="1" applyProtection="1">
      <alignment horizontal="center" vertical="center" wrapText="1"/>
      <protection/>
    </xf>
    <xf numFmtId="165" fontId="165" fillId="12" borderId="14" xfId="0" applyNumberFormat="1" applyFont="1" applyFill="1" applyBorder="1" applyAlignment="1" applyProtection="1">
      <alignment horizontal="center" vertical="center" wrapText="1"/>
      <protection/>
    </xf>
    <xf numFmtId="164" fontId="165" fillId="4" borderId="14" xfId="0" applyNumberFormat="1" applyFont="1" applyFill="1" applyBorder="1" applyAlignment="1" applyProtection="1">
      <alignment horizontal="center" vertical="center" wrapText="1"/>
      <protection/>
    </xf>
    <xf numFmtId="165" fontId="165" fillId="4" borderId="14" xfId="0" applyNumberFormat="1" applyFont="1" applyFill="1" applyBorder="1" applyAlignment="1" applyProtection="1">
      <alignment horizontal="center" vertical="center" wrapText="1"/>
      <protection/>
    </xf>
    <xf numFmtId="165" fontId="165" fillId="10" borderId="14" xfId="0" applyNumberFormat="1" applyFont="1" applyFill="1" applyBorder="1" applyAlignment="1" applyProtection="1">
      <alignment horizontal="center" vertical="center" wrapText="1"/>
      <protection/>
    </xf>
    <xf numFmtId="165" fontId="165" fillId="7" borderId="14" xfId="0" applyNumberFormat="1" applyFont="1" applyFill="1" applyBorder="1" applyAlignment="1" applyProtection="1">
      <alignment horizontal="center" vertical="center" wrapText="1"/>
      <protection/>
    </xf>
    <xf numFmtId="164" fontId="165" fillId="7" borderId="14" xfId="0" applyNumberFormat="1" applyFont="1" applyFill="1" applyBorder="1" applyAlignment="1" applyProtection="1">
      <alignment horizontal="center" vertical="center" wrapText="1"/>
      <protection/>
    </xf>
    <xf numFmtId="165" fontId="165" fillId="13" borderId="14" xfId="0" applyNumberFormat="1" applyFont="1" applyFill="1" applyBorder="1" applyAlignment="1" applyProtection="1">
      <alignment horizontal="center" vertical="center" wrapText="1"/>
      <protection/>
    </xf>
    <xf numFmtId="165" fontId="165" fillId="34" borderId="14" xfId="0" applyNumberFormat="1" applyFont="1" applyFill="1" applyBorder="1" applyAlignment="1" applyProtection="1">
      <alignment horizontal="center" vertical="center" wrapText="1"/>
      <protection/>
    </xf>
    <xf numFmtId="165" fontId="166" fillId="35" borderId="14" xfId="0" applyNumberFormat="1" applyFont="1" applyFill="1" applyBorder="1" applyAlignment="1" applyProtection="1">
      <alignment horizontal="center" vertical="center" wrapText="1"/>
      <protection/>
    </xf>
    <xf numFmtId="164" fontId="166" fillId="35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67" fillId="0" borderId="17" xfId="0" applyFont="1" applyBorder="1" applyAlignment="1">
      <alignment horizontal="center" vertical="center" wrapText="1"/>
    </xf>
    <xf numFmtId="166" fontId="167" fillId="0" borderId="17" xfId="0" applyNumberFormat="1" applyFont="1" applyBorder="1" applyAlignment="1">
      <alignment/>
    </xf>
    <xf numFmtId="166" fontId="167" fillId="0" borderId="0" xfId="0" applyNumberFormat="1" applyFont="1" applyBorder="1" applyAlignment="1">
      <alignment/>
    </xf>
    <xf numFmtId="0" fontId="167" fillId="12" borderId="17" xfId="0" applyFont="1" applyFill="1" applyBorder="1" applyAlignment="1">
      <alignment/>
    </xf>
    <xf numFmtId="2" fontId="167" fillId="12" borderId="17" xfId="0" applyNumberFormat="1" applyFont="1" applyFill="1" applyBorder="1" applyAlignment="1">
      <alignment/>
    </xf>
    <xf numFmtId="0" fontId="167" fillId="11" borderId="17" xfId="0" applyFont="1" applyFill="1" applyBorder="1" applyAlignment="1">
      <alignment/>
    </xf>
    <xf numFmtId="2" fontId="167" fillId="11" borderId="17" xfId="0" applyNumberFormat="1" applyFont="1" applyFill="1" applyBorder="1" applyAlignment="1">
      <alignment/>
    </xf>
    <xf numFmtId="0" fontId="168" fillId="40" borderId="17" xfId="0" applyFont="1" applyFill="1" applyBorder="1" applyAlignment="1">
      <alignment horizontal="center" vertical="center"/>
    </xf>
    <xf numFmtId="2" fontId="168" fillId="40" borderId="17" xfId="0" applyNumberFormat="1" applyFont="1" applyFill="1" applyBorder="1" applyAlignment="1">
      <alignment/>
    </xf>
    <xf numFmtId="0" fontId="169" fillId="41" borderId="17" xfId="0" applyFont="1" applyFill="1" applyBorder="1" applyAlignment="1">
      <alignment horizontal="center" vertical="center"/>
    </xf>
    <xf numFmtId="2" fontId="169" fillId="41" borderId="17" xfId="0" applyNumberFormat="1" applyFont="1" applyFill="1" applyBorder="1" applyAlignment="1">
      <alignment/>
    </xf>
    <xf numFmtId="0" fontId="167" fillId="16" borderId="17" xfId="0" applyFont="1" applyFill="1" applyBorder="1" applyAlignment="1">
      <alignment/>
    </xf>
    <xf numFmtId="2" fontId="167" fillId="16" borderId="17" xfId="0" applyNumberFormat="1" applyFont="1" applyFill="1" applyBorder="1" applyAlignment="1">
      <alignment/>
    </xf>
    <xf numFmtId="0" fontId="167" fillId="19" borderId="17" xfId="0" applyFont="1" applyFill="1" applyBorder="1" applyAlignment="1">
      <alignment/>
    </xf>
    <xf numFmtId="2" fontId="167" fillId="19" borderId="17" xfId="0" applyNumberFormat="1" applyFont="1" applyFill="1" applyBorder="1" applyAlignment="1">
      <alignment/>
    </xf>
    <xf numFmtId="0" fontId="167" fillId="34" borderId="17" xfId="0" applyFont="1" applyFill="1" applyBorder="1" applyAlignment="1">
      <alignment/>
    </xf>
    <xf numFmtId="2" fontId="167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2" fontId="167" fillId="11" borderId="17" xfId="0" applyNumberFormat="1" applyFont="1" applyFill="1" applyBorder="1" applyAlignment="1" applyProtection="1">
      <alignment horizontal="center" vertical="center"/>
      <protection locked="0"/>
    </xf>
    <xf numFmtId="2" fontId="167" fillId="12" borderId="17" xfId="0" applyNumberFormat="1" applyFont="1" applyFill="1" applyBorder="1" applyAlignment="1" applyProtection="1">
      <alignment horizontal="center" vertical="center"/>
      <protection locked="0"/>
    </xf>
    <xf numFmtId="2" fontId="167" fillId="16" borderId="17" xfId="0" applyNumberFormat="1" applyFont="1" applyFill="1" applyBorder="1" applyAlignment="1" applyProtection="1">
      <alignment horizontal="center" vertical="center"/>
      <protection locked="0"/>
    </xf>
    <xf numFmtId="2" fontId="167" fillId="19" borderId="17" xfId="0" applyNumberFormat="1" applyFont="1" applyFill="1" applyBorder="1" applyAlignment="1" applyProtection="1">
      <alignment horizontal="center" vertical="center"/>
      <protection locked="0"/>
    </xf>
    <xf numFmtId="2" fontId="167" fillId="15" borderId="17" xfId="0" applyNumberFormat="1" applyFont="1" applyFill="1" applyBorder="1" applyAlignment="1" applyProtection="1">
      <alignment horizontal="center" vertical="center"/>
      <protection locked="0"/>
    </xf>
    <xf numFmtId="2" fontId="167" fillId="34" borderId="17" xfId="0" applyNumberFormat="1" applyFont="1" applyFill="1" applyBorder="1" applyAlignment="1" applyProtection="1">
      <alignment horizontal="center" vertical="center"/>
      <protection locked="0"/>
    </xf>
    <xf numFmtId="0" fontId="170" fillId="5" borderId="17" xfId="0" applyFont="1" applyFill="1" applyBorder="1" applyAlignment="1" applyProtection="1">
      <alignment horizontal="center" vertical="center" shrinkToFit="1"/>
      <protection locked="0"/>
    </xf>
    <xf numFmtId="0" fontId="171" fillId="11" borderId="17" xfId="0" applyFont="1" applyFill="1" applyBorder="1" applyAlignment="1" applyProtection="1">
      <alignment horizontal="center" vertical="center" shrinkToFit="1"/>
      <protection/>
    </xf>
    <xf numFmtId="0" fontId="171" fillId="17" borderId="17" xfId="0" applyFont="1" applyFill="1" applyBorder="1" applyAlignment="1" applyProtection="1">
      <alignment horizontal="center" vertical="center" shrinkToFit="1"/>
      <protection/>
    </xf>
    <xf numFmtId="0" fontId="170" fillId="33" borderId="17" xfId="0" applyFont="1" applyFill="1" applyBorder="1" applyAlignment="1" applyProtection="1">
      <alignment horizontal="center" vertical="center" shrinkToFit="1"/>
      <protection locked="0"/>
    </xf>
    <xf numFmtId="0" fontId="171" fillId="33" borderId="17" xfId="0" applyFont="1" applyFill="1" applyBorder="1" applyAlignment="1" applyProtection="1">
      <alignment horizontal="center" vertical="center" shrinkToFit="1"/>
      <protection/>
    </xf>
    <xf numFmtId="0" fontId="170" fillId="36" borderId="17" xfId="0" applyFont="1" applyFill="1" applyBorder="1" applyAlignment="1" applyProtection="1">
      <alignment horizontal="center" vertical="center" shrinkToFit="1"/>
      <protection locked="0"/>
    </xf>
    <xf numFmtId="0" fontId="171" fillId="36" borderId="17" xfId="0" applyFont="1" applyFill="1" applyBorder="1" applyAlignment="1" applyProtection="1">
      <alignment horizontal="center" vertical="center" shrinkToFit="1"/>
      <protection/>
    </xf>
    <xf numFmtId="0" fontId="171" fillId="6" borderId="17" xfId="0" applyFont="1" applyFill="1" applyBorder="1" applyAlignment="1" applyProtection="1">
      <alignment horizontal="center" vertical="center" shrinkToFit="1"/>
      <protection/>
    </xf>
    <xf numFmtId="0" fontId="171" fillId="12" borderId="17" xfId="0" applyFont="1" applyFill="1" applyBorder="1" applyAlignment="1" applyProtection="1">
      <alignment horizontal="center" vertical="center" shrinkToFit="1"/>
      <protection/>
    </xf>
    <xf numFmtId="0" fontId="171" fillId="4" borderId="17" xfId="0" applyFont="1" applyFill="1" applyBorder="1" applyAlignment="1" applyProtection="1">
      <alignment horizontal="center" vertical="center" shrinkToFit="1"/>
      <protection/>
    </xf>
    <xf numFmtId="0" fontId="171" fillId="7" borderId="17" xfId="0" applyFont="1" applyFill="1" applyBorder="1" applyAlignment="1" applyProtection="1">
      <alignment horizontal="center" vertical="center" shrinkToFit="1"/>
      <protection/>
    </xf>
    <xf numFmtId="0" fontId="171" fillId="13" borderId="17" xfId="0" applyFont="1" applyFill="1" applyBorder="1" applyAlignment="1" applyProtection="1">
      <alignment horizontal="center" vertical="center" shrinkToFit="1"/>
      <protection/>
    </xf>
    <xf numFmtId="0" fontId="171" fillId="34" borderId="17" xfId="0" applyFont="1" applyFill="1" applyBorder="1" applyAlignment="1" applyProtection="1">
      <alignment horizontal="center" vertical="center" shrinkToFit="1"/>
      <protection/>
    </xf>
    <xf numFmtId="0" fontId="171" fillId="35" borderId="17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/>
    </xf>
    <xf numFmtId="2" fontId="167" fillId="42" borderId="17" xfId="0" applyNumberFormat="1" applyFont="1" applyFill="1" applyBorder="1" applyAlignment="1">
      <alignment/>
    </xf>
    <xf numFmtId="2" fontId="167" fillId="43" borderId="17" xfId="0" applyNumberFormat="1" applyFont="1" applyFill="1" applyBorder="1" applyAlignment="1">
      <alignment/>
    </xf>
    <xf numFmtId="2" fontId="167" fillId="44" borderId="17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167" fillId="11" borderId="16" xfId="0" applyFont="1" applyFill="1" applyBorder="1" applyAlignment="1">
      <alignment/>
    </xf>
    <xf numFmtId="0" fontId="167" fillId="12" borderId="16" xfId="0" applyFont="1" applyFill="1" applyBorder="1" applyAlignment="1">
      <alignment/>
    </xf>
    <xf numFmtId="0" fontId="167" fillId="16" borderId="16" xfId="0" applyFont="1" applyFill="1" applyBorder="1" applyAlignment="1">
      <alignment/>
    </xf>
    <xf numFmtId="0" fontId="167" fillId="19" borderId="16" xfId="0" applyFont="1" applyFill="1" applyBorder="1" applyAlignment="1">
      <alignment/>
    </xf>
    <xf numFmtId="0" fontId="167" fillId="34" borderId="16" xfId="0" applyFont="1" applyFill="1" applyBorder="1" applyAlignment="1">
      <alignment/>
    </xf>
    <xf numFmtId="0" fontId="167" fillId="0" borderId="16" xfId="0" applyFont="1" applyBorder="1" applyAlignment="1">
      <alignment horizontal="center" vertical="center" wrapText="1"/>
    </xf>
    <xf numFmtId="0" fontId="167" fillId="11" borderId="18" xfId="0" applyFont="1" applyFill="1" applyBorder="1" applyAlignment="1">
      <alignment/>
    </xf>
    <xf numFmtId="0" fontId="172" fillId="0" borderId="19" xfId="0" applyFont="1" applyBorder="1" applyAlignment="1">
      <alignment horizontal="left" vertical="top" wrapText="1"/>
    </xf>
    <xf numFmtId="2" fontId="173" fillId="41" borderId="17" xfId="0" applyNumberFormat="1" applyFont="1" applyFill="1" applyBorder="1" applyAlignment="1">
      <alignment horizontal="center" vertical="center"/>
    </xf>
    <xf numFmtId="0" fontId="172" fillId="0" borderId="0" xfId="0" applyFont="1" applyFill="1" applyAlignment="1">
      <alignment horizontal="center" vertical="top" wrapText="1"/>
    </xf>
    <xf numFmtId="0" fontId="172" fillId="0" borderId="0" xfId="0" applyFont="1" applyFill="1" applyAlignment="1">
      <alignment horizontal="left" vertical="top" wrapText="1"/>
    </xf>
    <xf numFmtId="0" fontId="172" fillId="0" borderId="19" xfId="0" applyFont="1" applyFill="1" applyBorder="1" applyAlignment="1">
      <alignment horizontal="center" vertical="top" wrapText="1"/>
    </xf>
    <xf numFmtId="0" fontId="172" fillId="0" borderId="19" xfId="0" applyFont="1" applyFill="1" applyBorder="1" applyAlignment="1">
      <alignment horizontal="left" vertical="top" wrapText="1"/>
    </xf>
    <xf numFmtId="166" fontId="158" fillId="0" borderId="17" xfId="0" applyNumberFormat="1" applyFont="1" applyBorder="1" applyAlignment="1" quotePrefix="1">
      <alignment horizontal="center" vertical="center"/>
    </xf>
    <xf numFmtId="0" fontId="0" fillId="10" borderId="20" xfId="0" applyFill="1" applyBorder="1" applyAlignment="1" applyProtection="1">
      <alignment horizontal="center" vertical="center" wrapText="1"/>
      <protection locked="0"/>
    </xf>
    <xf numFmtId="0" fontId="0" fillId="10" borderId="21" xfId="0" applyFill="1" applyBorder="1" applyAlignment="1" applyProtection="1">
      <alignment horizontal="center" vertical="center" wrapText="1"/>
      <protection locked="0"/>
    </xf>
    <xf numFmtId="0" fontId="0" fillId="7" borderId="21" xfId="0" applyFill="1" applyBorder="1" applyAlignment="1" applyProtection="1">
      <alignment horizontal="center" vertical="center" wrapText="1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13" borderId="20" xfId="0" applyFill="1" applyBorder="1" applyAlignment="1" applyProtection="1">
      <alignment horizontal="center" vertical="center" wrapText="1"/>
      <protection locked="0"/>
    </xf>
    <xf numFmtId="0" fontId="0" fillId="13" borderId="21" xfId="0" applyFill="1" applyBorder="1" applyAlignment="1" applyProtection="1">
      <alignment horizontal="center" vertical="center" wrapText="1"/>
      <protection locked="0"/>
    </xf>
    <xf numFmtId="0" fontId="0" fillId="19" borderId="20" xfId="0" applyFill="1" applyBorder="1" applyAlignment="1" applyProtection="1">
      <alignment horizontal="center" vertical="center" wrapText="1"/>
      <protection locked="0"/>
    </xf>
    <xf numFmtId="0" fontId="0" fillId="38" borderId="20" xfId="0" applyFill="1" applyBorder="1" applyAlignment="1" applyProtection="1">
      <alignment horizontal="center" vertical="center" wrapText="1"/>
      <protection locked="0"/>
    </xf>
    <xf numFmtId="0" fontId="0" fillId="37" borderId="20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148" fillId="35" borderId="21" xfId="0" applyFont="1" applyFill="1" applyBorder="1" applyAlignment="1" applyProtection="1">
      <alignment horizontal="center" vertical="center" wrapText="1"/>
      <protection locked="0"/>
    </xf>
    <xf numFmtId="0" fontId="148" fillId="35" borderId="20" xfId="0" applyFont="1" applyFill="1" applyBorder="1" applyAlignment="1" applyProtection="1">
      <alignment horizontal="center" vertical="center" wrapText="1"/>
      <protection locked="0"/>
    </xf>
    <xf numFmtId="0" fontId="148" fillId="39" borderId="20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74" fillId="0" borderId="0" xfId="0" applyFont="1" applyAlignment="1">
      <alignment horizontal="center"/>
    </xf>
    <xf numFmtId="0" fontId="175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45" borderId="0" xfId="0" applyFill="1" applyAlignment="1" applyProtection="1">
      <alignment horizontal="center"/>
      <protection locked="0"/>
    </xf>
    <xf numFmtId="0" fontId="0" fillId="45" borderId="0" xfId="0" applyFill="1" applyAlignment="1" applyProtection="1">
      <alignment/>
      <protection locked="0"/>
    </xf>
    <xf numFmtId="0" fontId="0" fillId="45" borderId="0" xfId="0" applyFill="1" applyAlignment="1" applyProtection="1">
      <alignment/>
      <protection locked="0"/>
    </xf>
    <xf numFmtId="0" fontId="0" fillId="45" borderId="0" xfId="0" applyFill="1" applyBorder="1" applyAlignment="1" applyProtection="1">
      <alignment/>
      <protection locked="0"/>
    </xf>
    <xf numFmtId="0" fontId="0" fillId="45" borderId="0" xfId="0" applyFill="1" applyBorder="1" applyAlignment="1" applyProtection="1">
      <alignment vertical="center" wrapText="1"/>
      <protection locked="0"/>
    </xf>
    <xf numFmtId="0" fontId="17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0" fillId="5" borderId="16" xfId="0" applyFont="1" applyFill="1" applyBorder="1" applyAlignment="1" applyProtection="1">
      <alignment horizontal="center" vertical="center" shrinkToFit="1"/>
      <protection locked="0"/>
    </xf>
    <xf numFmtId="0" fontId="170" fillId="33" borderId="16" xfId="0" applyFont="1" applyFill="1" applyBorder="1" applyAlignment="1" applyProtection="1">
      <alignment horizontal="center" vertical="center" shrinkToFit="1"/>
      <protection locked="0"/>
    </xf>
    <xf numFmtId="0" fontId="171" fillId="33" borderId="16" xfId="0" applyFont="1" applyFill="1" applyBorder="1" applyAlignment="1" applyProtection="1">
      <alignment horizontal="center" vertical="center" shrinkToFit="1"/>
      <protection/>
    </xf>
    <xf numFmtId="0" fontId="170" fillId="36" borderId="16" xfId="0" applyFont="1" applyFill="1" applyBorder="1" applyAlignment="1" applyProtection="1">
      <alignment horizontal="center" vertical="center" shrinkToFit="1"/>
      <protection locked="0"/>
    </xf>
    <xf numFmtId="0" fontId="170" fillId="12" borderId="16" xfId="0" applyFont="1" applyFill="1" applyBorder="1" applyAlignment="1" applyProtection="1">
      <alignment horizontal="center" vertical="center" shrinkToFit="1"/>
      <protection locked="0"/>
    </xf>
    <xf numFmtId="0" fontId="171" fillId="4" borderId="16" xfId="0" applyFont="1" applyFill="1" applyBorder="1" applyAlignment="1" applyProtection="1">
      <alignment horizontal="center" vertical="center" shrinkToFit="1"/>
      <protection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170" fillId="5" borderId="18" xfId="0" applyFont="1" applyFill="1" applyBorder="1" applyAlignment="1" applyProtection="1">
      <alignment horizontal="center" vertical="center" shrinkToFit="1"/>
      <protection locked="0"/>
    </xf>
    <xf numFmtId="0" fontId="170" fillId="5" borderId="22" xfId="0" applyFont="1" applyFill="1" applyBorder="1" applyAlignment="1" applyProtection="1">
      <alignment horizontal="center" vertical="center" shrinkToFit="1"/>
      <protection locked="0"/>
    </xf>
    <xf numFmtId="165" fontId="165" fillId="5" borderId="23" xfId="0" applyNumberFormat="1" applyFont="1" applyFill="1" applyBorder="1" applyAlignment="1" applyProtection="1">
      <alignment horizontal="center" vertical="center" wrapText="1"/>
      <protection/>
    </xf>
    <xf numFmtId="0" fontId="161" fillId="5" borderId="24" xfId="0" applyFont="1" applyFill="1" applyBorder="1" applyAlignment="1" applyProtection="1">
      <alignment horizontal="center" vertical="center" wrapText="1"/>
      <protection/>
    </xf>
    <xf numFmtId="2" fontId="164" fillId="5" borderId="18" xfId="0" applyNumberFormat="1" applyFont="1" applyFill="1" applyBorder="1" applyAlignment="1">
      <alignment horizontal="center" vertical="center"/>
    </xf>
    <xf numFmtId="2" fontId="158" fillId="5" borderId="25" xfId="0" applyNumberFormat="1" applyFont="1" applyFill="1" applyBorder="1" applyAlignment="1">
      <alignment horizontal="center" vertical="center"/>
    </xf>
    <xf numFmtId="2" fontId="158" fillId="17" borderId="25" xfId="0" applyNumberFormat="1" applyFont="1" applyFill="1" applyBorder="1" applyAlignment="1">
      <alignment horizontal="center" vertical="center"/>
    </xf>
    <xf numFmtId="2" fontId="177" fillId="33" borderId="25" xfId="0" applyNumberFormat="1" applyFont="1" applyFill="1" applyBorder="1" applyAlignment="1">
      <alignment horizontal="center" vertical="center"/>
    </xf>
    <xf numFmtId="2" fontId="177" fillId="36" borderId="25" xfId="0" applyNumberFormat="1" applyFont="1" applyFill="1" applyBorder="1" applyAlignment="1">
      <alignment horizontal="center" vertical="center"/>
    </xf>
    <xf numFmtId="2" fontId="158" fillId="6" borderId="25" xfId="0" applyNumberFormat="1" applyFont="1" applyFill="1" applyBorder="1" applyAlignment="1">
      <alignment horizontal="center" vertical="center"/>
    </xf>
    <xf numFmtId="2" fontId="158" fillId="12" borderId="25" xfId="0" applyNumberFormat="1" applyFont="1" applyFill="1" applyBorder="1" applyAlignment="1">
      <alignment horizontal="center" vertical="center"/>
    </xf>
    <xf numFmtId="2" fontId="158" fillId="4" borderId="25" xfId="0" applyNumberFormat="1" applyFont="1" applyFill="1" applyBorder="1" applyAlignment="1">
      <alignment horizontal="center" vertical="center"/>
    </xf>
    <xf numFmtId="2" fontId="158" fillId="10" borderId="25" xfId="0" applyNumberFormat="1" applyFont="1" applyFill="1" applyBorder="1" applyAlignment="1">
      <alignment horizontal="center" vertical="center"/>
    </xf>
    <xf numFmtId="2" fontId="158" fillId="7" borderId="25" xfId="0" applyNumberFormat="1" applyFont="1" applyFill="1" applyBorder="1" applyAlignment="1">
      <alignment horizontal="center" vertical="center"/>
    </xf>
    <xf numFmtId="2" fontId="158" fillId="13" borderId="25" xfId="0" applyNumberFormat="1" applyFont="1" applyFill="1" applyBorder="1" applyAlignment="1">
      <alignment horizontal="center" vertical="center"/>
    </xf>
    <xf numFmtId="2" fontId="158" fillId="37" borderId="25" xfId="0" applyNumberFormat="1" applyFont="1" applyFill="1" applyBorder="1" applyAlignment="1">
      <alignment horizontal="center" vertical="center"/>
    </xf>
    <xf numFmtId="2" fontId="158" fillId="34" borderId="25" xfId="0" applyNumberFormat="1" applyFont="1" applyFill="1" applyBorder="1" applyAlignment="1">
      <alignment horizontal="center" vertical="center"/>
    </xf>
    <xf numFmtId="2" fontId="178" fillId="35" borderId="25" xfId="0" applyNumberFormat="1" applyFont="1" applyFill="1" applyBorder="1" applyAlignment="1">
      <alignment horizontal="center" vertical="center"/>
    </xf>
    <xf numFmtId="2" fontId="178" fillId="39" borderId="25" xfId="0" applyNumberFormat="1" applyFont="1" applyFill="1" applyBorder="1" applyAlignment="1">
      <alignment horizontal="center" vertical="center"/>
    </xf>
    <xf numFmtId="0" fontId="0" fillId="5" borderId="26" xfId="0" applyFill="1" applyBorder="1" applyAlignment="1" applyProtection="1">
      <alignment horizontal="left" vertical="top" wrapText="1"/>
      <protection/>
    </xf>
    <xf numFmtId="0" fontId="0" fillId="5" borderId="27" xfId="0" applyFill="1" applyBorder="1" applyAlignment="1" applyProtection="1">
      <alignment horizontal="left" vertical="top" wrapText="1"/>
      <protection/>
    </xf>
    <xf numFmtId="0" fontId="0" fillId="11" borderId="27" xfId="0" applyFill="1" applyBorder="1" applyAlignment="1" applyProtection="1">
      <alignment horizontal="left" vertical="top" wrapText="1"/>
      <protection/>
    </xf>
    <xf numFmtId="0" fontId="0" fillId="17" borderId="27" xfId="0" applyFill="1" applyBorder="1" applyAlignment="1" applyProtection="1">
      <alignment horizontal="left" vertical="top" wrapText="1"/>
      <protection/>
    </xf>
    <xf numFmtId="0" fontId="147" fillId="33" borderId="27" xfId="0" applyFont="1" applyFill="1" applyBorder="1" applyAlignment="1" applyProtection="1">
      <alignment horizontal="left" vertical="top" wrapText="1"/>
      <protection/>
    </xf>
    <xf numFmtId="0" fontId="147" fillId="36" borderId="27" xfId="0" applyFont="1" applyFill="1" applyBorder="1" applyAlignment="1" applyProtection="1">
      <alignment horizontal="left" vertical="top" wrapText="1"/>
      <protection/>
    </xf>
    <xf numFmtId="0" fontId="0" fillId="6" borderId="27" xfId="0" applyFill="1" applyBorder="1" applyAlignment="1" applyProtection="1">
      <alignment horizontal="left" vertical="top" wrapText="1"/>
      <protection/>
    </xf>
    <xf numFmtId="0" fontId="0" fillId="12" borderId="27" xfId="0" applyFill="1" applyBorder="1" applyAlignment="1" applyProtection="1">
      <alignment horizontal="left" vertical="top" wrapText="1"/>
      <protection/>
    </xf>
    <xf numFmtId="0" fontId="0" fillId="4" borderId="27" xfId="0" applyFill="1" applyBorder="1" applyAlignment="1" applyProtection="1">
      <alignment horizontal="left" vertical="top" wrapText="1"/>
      <protection/>
    </xf>
    <xf numFmtId="0" fontId="0" fillId="10" borderId="27" xfId="0" applyFill="1" applyBorder="1" applyAlignment="1" applyProtection="1">
      <alignment horizontal="left" vertical="top" wrapText="1"/>
      <protection/>
    </xf>
    <xf numFmtId="0" fontId="0" fillId="7" borderId="27" xfId="0" applyFill="1" applyBorder="1" applyAlignment="1" applyProtection="1">
      <alignment horizontal="left" vertical="top" wrapText="1"/>
      <protection/>
    </xf>
    <xf numFmtId="0" fontId="0" fillId="13" borderId="27" xfId="0" applyFill="1" applyBorder="1" applyAlignment="1" applyProtection="1">
      <alignment horizontal="left" vertical="top" wrapText="1"/>
      <protection/>
    </xf>
    <xf numFmtId="0" fontId="0" fillId="37" borderId="27" xfId="0" applyFill="1" applyBorder="1" applyAlignment="1" applyProtection="1">
      <alignment horizontal="left" vertical="top" wrapText="1"/>
      <protection/>
    </xf>
    <xf numFmtId="0" fontId="0" fillId="34" borderId="27" xfId="0" applyFill="1" applyBorder="1" applyAlignment="1" applyProtection="1">
      <alignment horizontal="left" vertical="top" wrapText="1"/>
      <protection/>
    </xf>
    <xf numFmtId="0" fontId="148" fillId="35" borderId="27" xfId="0" applyFont="1" applyFill="1" applyBorder="1" applyAlignment="1" applyProtection="1">
      <alignment horizontal="left" vertical="top" wrapText="1"/>
      <protection/>
    </xf>
    <xf numFmtId="0" fontId="148" fillId="39" borderId="27" xfId="0" applyFont="1" applyFill="1" applyBorder="1" applyAlignment="1" applyProtection="1">
      <alignment horizontal="left" vertical="top" wrapText="1"/>
      <protection/>
    </xf>
    <xf numFmtId="0" fontId="0" fillId="5" borderId="17" xfId="0" applyFill="1" applyBorder="1" applyAlignment="1">
      <alignment horizontal="center" vertical="top" wrapText="1"/>
    </xf>
    <xf numFmtId="0" fontId="0" fillId="17" borderId="17" xfId="0" applyFill="1" applyBorder="1" applyAlignment="1">
      <alignment horizontal="center" vertical="top" wrapText="1"/>
    </xf>
    <xf numFmtId="0" fontId="147" fillId="33" borderId="17" xfId="0" applyFont="1" applyFill="1" applyBorder="1" applyAlignment="1">
      <alignment horizontal="center" vertical="top" wrapText="1"/>
    </xf>
    <xf numFmtId="0" fontId="147" fillId="36" borderId="17" xfId="0" applyFont="1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 wrapText="1"/>
    </xf>
    <xf numFmtId="0" fontId="0" fillId="12" borderId="17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13" borderId="17" xfId="0" applyFill="1" applyBorder="1" applyAlignment="1">
      <alignment horizontal="center" vertical="top" wrapText="1"/>
    </xf>
    <xf numFmtId="0" fontId="0" fillId="37" borderId="17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148" fillId="35" borderId="17" xfId="0" applyFont="1" applyFill="1" applyBorder="1" applyAlignment="1">
      <alignment horizontal="center" vertical="top" wrapText="1"/>
    </xf>
    <xf numFmtId="0" fontId="148" fillId="39" borderId="17" xfId="0" applyFont="1" applyFill="1" applyBorder="1" applyAlignment="1">
      <alignment horizontal="center" vertical="top" wrapText="1"/>
    </xf>
    <xf numFmtId="0" fontId="175" fillId="0" borderId="28" xfId="0" applyFont="1" applyBorder="1" applyAlignment="1">
      <alignment horizontal="center" vertical="center" wrapText="1"/>
    </xf>
    <xf numFmtId="0" fontId="167" fillId="0" borderId="28" xfId="0" applyFont="1" applyBorder="1" applyAlignment="1">
      <alignment horizontal="center" vertical="center" wrapText="1"/>
    </xf>
    <xf numFmtId="166" fontId="158" fillId="0" borderId="29" xfId="0" applyNumberFormat="1" applyFont="1" applyBorder="1" applyAlignment="1" quotePrefix="1">
      <alignment horizontal="center" vertical="center"/>
    </xf>
    <xf numFmtId="166" fontId="158" fillId="0" borderId="30" xfId="0" applyNumberFormat="1" applyFont="1" applyBorder="1" applyAlignment="1" quotePrefix="1">
      <alignment horizontal="center" vertical="center"/>
    </xf>
    <xf numFmtId="166" fontId="158" fillId="0" borderId="31" xfId="0" applyNumberFormat="1" applyFont="1" applyBorder="1" applyAlignment="1" quotePrefix="1">
      <alignment horizontal="center" vertical="center"/>
    </xf>
    <xf numFmtId="0" fontId="168" fillId="40" borderId="22" xfId="0" applyFont="1" applyFill="1" applyBorder="1" applyAlignment="1">
      <alignment horizontal="center" vertical="center"/>
    </xf>
    <xf numFmtId="164" fontId="167" fillId="11" borderId="17" xfId="0" applyNumberFormat="1" applyFont="1" applyFill="1" applyBorder="1" applyAlignment="1">
      <alignment/>
    </xf>
    <xf numFmtId="164" fontId="167" fillId="12" borderId="17" xfId="0" applyNumberFormat="1" applyFont="1" applyFill="1" applyBorder="1" applyAlignment="1">
      <alignment/>
    </xf>
    <xf numFmtId="164" fontId="167" fillId="16" borderId="17" xfId="0" applyNumberFormat="1" applyFont="1" applyFill="1" applyBorder="1" applyAlignment="1">
      <alignment/>
    </xf>
    <xf numFmtId="164" fontId="167" fillId="19" borderId="17" xfId="0" applyNumberFormat="1" applyFont="1" applyFill="1" applyBorder="1" applyAlignment="1">
      <alignment/>
    </xf>
    <xf numFmtId="164" fontId="167" fillId="34" borderId="17" xfId="0" applyNumberFormat="1" applyFont="1" applyFill="1" applyBorder="1" applyAlignment="1">
      <alignment/>
    </xf>
    <xf numFmtId="164" fontId="168" fillId="40" borderId="17" xfId="0" applyNumberFormat="1" applyFont="1" applyFill="1" applyBorder="1" applyAlignment="1">
      <alignment/>
    </xf>
    <xf numFmtId="0" fontId="0" fillId="5" borderId="22" xfId="0" applyFill="1" applyBorder="1" applyAlignment="1">
      <alignment horizontal="center" vertical="top" wrapText="1"/>
    </xf>
    <xf numFmtId="2" fontId="158" fillId="5" borderId="32" xfId="0" applyNumberFormat="1" applyFont="1" applyFill="1" applyBorder="1" applyAlignment="1">
      <alignment horizontal="center" vertical="center"/>
    </xf>
    <xf numFmtId="0" fontId="152" fillId="5" borderId="12" xfId="0" applyFont="1" applyFill="1" applyBorder="1" applyAlignment="1">
      <alignment horizontal="center" vertical="center"/>
    </xf>
    <xf numFmtId="0" fontId="152" fillId="5" borderId="11" xfId="0" applyFont="1" applyFill="1" applyBorder="1" applyAlignment="1">
      <alignment horizontal="center" vertical="center"/>
    </xf>
    <xf numFmtId="0" fontId="179" fillId="6" borderId="27" xfId="0" applyFont="1" applyFill="1" applyBorder="1" applyAlignment="1" applyProtection="1">
      <alignment horizontal="left" vertical="top" wrapText="1"/>
      <protection/>
    </xf>
    <xf numFmtId="0" fontId="147" fillId="0" borderId="0" xfId="0" applyFont="1" applyFill="1" applyBorder="1" applyAlignment="1" applyProtection="1">
      <alignment vertical="center" wrapText="1"/>
      <protection/>
    </xf>
    <xf numFmtId="0" fontId="14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46" borderId="0" xfId="0" applyFill="1" applyAlignment="1" applyProtection="1">
      <alignment/>
      <protection locked="0"/>
    </xf>
    <xf numFmtId="0" fontId="0" fillId="46" borderId="11" xfId="0" applyFill="1" applyBorder="1" applyAlignment="1" applyProtection="1">
      <alignment horizontal="left" wrapText="1"/>
      <protection locked="0"/>
    </xf>
    <xf numFmtId="0" fontId="0" fillId="46" borderId="11" xfId="0" applyFill="1" applyBorder="1" applyAlignment="1" applyProtection="1">
      <alignment horizontal="center" vertical="top" wrapText="1"/>
      <protection locked="0"/>
    </xf>
    <xf numFmtId="0" fontId="0" fillId="46" borderId="11" xfId="0" applyFill="1" applyBorder="1" applyAlignment="1" applyProtection="1">
      <alignment horizontal="left" vertical="top" wrapText="1"/>
      <protection locked="0"/>
    </xf>
    <xf numFmtId="0" fontId="0" fillId="46" borderId="10" xfId="0" applyFill="1" applyBorder="1" applyAlignment="1" applyProtection="1">
      <alignment horizontal="center" vertical="center" shrinkToFit="1"/>
      <protection locked="0"/>
    </xf>
    <xf numFmtId="0" fontId="0" fillId="46" borderId="10" xfId="0" applyFill="1" applyBorder="1" applyAlignment="1" applyProtection="1">
      <alignment horizontal="center" vertical="center"/>
      <protection locked="0"/>
    </xf>
    <xf numFmtId="0" fontId="158" fillId="46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>
      <alignment horizontal="center" vertical="center"/>
    </xf>
    <xf numFmtId="0" fontId="0" fillId="47" borderId="10" xfId="0" applyFill="1" applyBorder="1" applyAlignment="1">
      <alignment/>
    </xf>
    <xf numFmtId="0" fontId="0" fillId="47" borderId="10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11" borderId="10" xfId="0" applyNumberFormat="1" applyFill="1" applyBorder="1" applyAlignment="1" applyProtection="1">
      <alignment horizontal="center" vertical="center" wrapText="1"/>
      <protection locked="0"/>
    </xf>
    <xf numFmtId="0" fontId="180" fillId="46" borderId="0" xfId="0" applyFont="1" applyFill="1" applyAlignment="1" applyProtection="1">
      <alignment horizontal="center" vertical="center"/>
      <protection/>
    </xf>
    <xf numFmtId="0" fontId="171" fillId="48" borderId="17" xfId="0" applyFont="1" applyFill="1" applyBorder="1" applyAlignment="1" applyProtection="1">
      <alignment horizontal="center" vertical="center" shrinkToFit="1"/>
      <protection/>
    </xf>
    <xf numFmtId="0" fontId="171" fillId="43" borderId="17" xfId="0" applyFont="1" applyFill="1" applyBorder="1" applyAlignment="1" applyProtection="1">
      <alignment horizontal="center" vertical="center" shrinkToFit="1"/>
      <protection/>
    </xf>
    <xf numFmtId="0" fontId="162" fillId="49" borderId="15" xfId="0" applyFont="1" applyFill="1" applyBorder="1" applyAlignment="1" applyProtection="1">
      <alignment horizontal="center" vertical="center" wrapText="1"/>
      <protection/>
    </xf>
    <xf numFmtId="2" fontId="177" fillId="49" borderId="25" xfId="0" applyNumberFormat="1" applyFont="1" applyFill="1" applyBorder="1" applyAlignment="1">
      <alignment horizontal="center" vertical="center"/>
    </xf>
    <xf numFmtId="2" fontId="162" fillId="49" borderId="16" xfId="0" applyNumberFormat="1" applyFont="1" applyFill="1" applyBorder="1" applyAlignment="1">
      <alignment horizontal="center" vertical="center"/>
    </xf>
    <xf numFmtId="0" fontId="181" fillId="49" borderId="17" xfId="0" applyFont="1" applyFill="1" applyBorder="1" applyAlignment="1">
      <alignment horizontal="center" vertical="top" wrapText="1"/>
    </xf>
    <xf numFmtId="0" fontId="147" fillId="49" borderId="17" xfId="0" applyFont="1" applyFill="1" applyBorder="1" applyAlignment="1">
      <alignment horizontal="center" vertical="top" wrapText="1"/>
    </xf>
    <xf numFmtId="0" fontId="147" fillId="49" borderId="27" xfId="0" applyFont="1" applyFill="1" applyBorder="1" applyAlignment="1" applyProtection="1">
      <alignment horizontal="left" vertical="top" wrapText="1"/>
      <protection/>
    </xf>
    <xf numFmtId="0" fontId="182" fillId="49" borderId="14" xfId="0" applyFont="1" applyFill="1" applyBorder="1" applyAlignment="1" applyProtection="1">
      <alignment horizontal="center" vertical="center" wrapText="1"/>
      <protection/>
    </xf>
    <xf numFmtId="0" fontId="183" fillId="50" borderId="17" xfId="0" applyFont="1" applyFill="1" applyBorder="1" applyAlignment="1">
      <alignment/>
    </xf>
    <xf numFmtId="2" fontId="183" fillId="50" borderId="17" xfId="0" applyNumberFormat="1" applyFont="1" applyFill="1" applyBorder="1" applyAlignment="1">
      <alignment/>
    </xf>
    <xf numFmtId="0" fontId="183" fillId="49" borderId="16" xfId="0" applyFont="1" applyFill="1" applyBorder="1" applyAlignment="1">
      <alignment/>
    </xf>
    <xf numFmtId="2" fontId="183" fillId="49" borderId="17" xfId="0" applyNumberFormat="1" applyFont="1" applyFill="1" applyBorder="1" applyAlignment="1">
      <alignment/>
    </xf>
    <xf numFmtId="164" fontId="183" fillId="50" borderId="17" xfId="0" applyNumberFormat="1" applyFont="1" applyFill="1" applyBorder="1" applyAlignment="1">
      <alignment/>
    </xf>
    <xf numFmtId="2" fontId="167" fillId="51" borderId="17" xfId="0" applyNumberFormat="1" applyFont="1" applyFill="1" applyBorder="1" applyAlignment="1">
      <alignment/>
    </xf>
    <xf numFmtId="2" fontId="167" fillId="52" borderId="17" xfId="0" applyNumberFormat="1" applyFont="1" applyFill="1" applyBorder="1" applyAlignment="1">
      <alignment/>
    </xf>
    <xf numFmtId="0" fontId="147" fillId="53" borderId="17" xfId="0" applyFont="1" applyFill="1" applyBorder="1" applyAlignment="1">
      <alignment horizontal="center" vertical="top" wrapText="1"/>
    </xf>
    <xf numFmtId="0" fontId="147" fillId="53" borderId="27" xfId="0" applyFont="1" applyFill="1" applyBorder="1" applyAlignment="1" applyProtection="1">
      <alignment horizontal="left" vertical="top" wrapText="1"/>
      <protection/>
    </xf>
    <xf numFmtId="165" fontId="184" fillId="53" borderId="14" xfId="0" applyNumberFormat="1" applyFont="1" applyFill="1" applyBorder="1" applyAlignment="1" applyProtection="1">
      <alignment horizontal="center" vertical="center" wrapText="1"/>
      <protection/>
    </xf>
    <xf numFmtId="0" fontId="162" fillId="53" borderId="15" xfId="0" applyFont="1" applyFill="1" applyBorder="1" applyAlignment="1" applyProtection="1">
      <alignment horizontal="center" vertical="center" wrapText="1"/>
      <protection/>
    </xf>
    <xf numFmtId="2" fontId="177" fillId="53" borderId="25" xfId="0" applyNumberFormat="1" applyFont="1" applyFill="1" applyBorder="1" applyAlignment="1">
      <alignment horizontal="center" vertical="center"/>
    </xf>
    <xf numFmtId="2" fontId="162" fillId="53" borderId="16" xfId="0" applyNumberFormat="1" applyFont="1" applyFill="1" applyBorder="1" applyAlignment="1">
      <alignment horizontal="center" vertical="center"/>
    </xf>
    <xf numFmtId="0" fontId="182" fillId="53" borderId="17" xfId="0" applyFont="1" applyFill="1" applyBorder="1" applyAlignment="1" applyProtection="1">
      <alignment horizontal="center" vertical="center" shrinkToFit="1"/>
      <protection/>
    </xf>
    <xf numFmtId="165" fontId="185" fillId="53" borderId="14" xfId="0" applyNumberFormat="1" applyFont="1" applyFill="1" applyBorder="1" applyAlignment="1" applyProtection="1">
      <alignment horizontal="center" vertical="center" wrapText="1"/>
      <protection/>
    </xf>
    <xf numFmtId="0" fontId="182" fillId="53" borderId="14" xfId="0" applyFont="1" applyFill="1" applyBorder="1" applyAlignment="1" applyProtection="1">
      <alignment horizontal="center" vertical="center" wrapText="1"/>
      <protection/>
    </xf>
    <xf numFmtId="1" fontId="182" fillId="53" borderId="16" xfId="0" applyNumberFormat="1" applyFont="1" applyFill="1" applyBorder="1" applyAlignment="1" applyProtection="1">
      <alignment horizontal="center" vertical="center" shrinkToFit="1"/>
      <protection locked="0"/>
    </xf>
    <xf numFmtId="1" fontId="170" fillId="11" borderId="16" xfId="0" applyNumberFormat="1" applyFont="1" applyFill="1" applyBorder="1" applyAlignment="1" applyProtection="1">
      <alignment horizontal="center" vertical="center" shrinkToFit="1"/>
      <protection locked="0"/>
    </xf>
    <xf numFmtId="0" fontId="186" fillId="54" borderId="33" xfId="0" applyFont="1" applyFill="1" applyBorder="1" applyAlignment="1">
      <alignment horizontal="center" vertical="center" wrapText="1"/>
    </xf>
    <xf numFmtId="0" fontId="187" fillId="55" borderId="33" xfId="0" applyFont="1" applyFill="1" applyBorder="1" applyAlignment="1">
      <alignment wrapText="1"/>
    </xf>
    <xf numFmtId="0" fontId="0" fillId="11" borderId="17" xfId="0" applyFill="1" applyBorder="1" applyAlignment="1">
      <alignment horizontal="center" vertical="top" wrapText="1"/>
    </xf>
    <xf numFmtId="2" fontId="158" fillId="11" borderId="25" xfId="0" applyNumberFormat="1" applyFont="1" applyFill="1" applyBorder="1" applyAlignment="1">
      <alignment horizontal="center" vertical="center"/>
    </xf>
    <xf numFmtId="0" fontId="170" fillId="11" borderId="16" xfId="0" applyFont="1" applyFill="1" applyBorder="1" applyAlignment="1" applyProtection="1">
      <alignment horizontal="center" vertical="center" shrinkToFit="1"/>
      <protection locked="0"/>
    </xf>
    <xf numFmtId="0" fontId="170" fillId="17" borderId="16" xfId="0" applyFont="1" applyFill="1" applyBorder="1" applyAlignment="1" applyProtection="1">
      <alignment horizontal="center" vertical="center" shrinkToFit="1"/>
      <protection locked="0"/>
    </xf>
    <xf numFmtId="0" fontId="182" fillId="53" borderId="16" xfId="0" applyFont="1" applyFill="1" applyBorder="1" applyAlignment="1" applyProtection="1">
      <alignment horizontal="center" vertical="center" shrinkToFit="1"/>
      <protection locked="0"/>
    </xf>
    <xf numFmtId="0" fontId="182" fillId="53" borderId="17" xfId="0" applyFont="1" applyFill="1" applyBorder="1" applyAlignment="1" applyProtection="1">
      <alignment horizontal="center" vertical="center" shrinkToFit="1"/>
      <protection locked="0"/>
    </xf>
    <xf numFmtId="0" fontId="159" fillId="35" borderId="16" xfId="0" applyFont="1" applyFill="1" applyBorder="1" applyAlignment="1" applyProtection="1">
      <alignment horizontal="center" vertical="center" shrinkToFit="1"/>
      <protection locked="0"/>
    </xf>
    <xf numFmtId="0" fontId="159" fillId="35" borderId="17" xfId="0" applyFont="1" applyFill="1" applyBorder="1" applyAlignment="1" applyProtection="1">
      <alignment horizontal="center" vertical="center" shrinkToFit="1"/>
      <protection locked="0"/>
    </xf>
    <xf numFmtId="0" fontId="170" fillId="7" borderId="16" xfId="0" applyFont="1" applyFill="1" applyBorder="1" applyAlignment="1" applyProtection="1">
      <alignment horizontal="center" vertical="center" shrinkToFit="1"/>
      <protection locked="0"/>
    </xf>
    <xf numFmtId="0" fontId="170" fillId="7" borderId="17" xfId="0" applyFont="1" applyFill="1" applyBorder="1" applyAlignment="1" applyProtection="1">
      <alignment horizontal="center" vertical="center" shrinkToFit="1"/>
      <protection locked="0"/>
    </xf>
    <xf numFmtId="0" fontId="170" fillId="13" borderId="16" xfId="0" applyFont="1" applyFill="1" applyBorder="1" applyAlignment="1" applyProtection="1">
      <alignment horizontal="center" vertical="center" shrinkToFit="1"/>
      <protection locked="0"/>
    </xf>
    <xf numFmtId="0" fontId="170" fillId="6" borderId="16" xfId="0" applyFont="1" applyFill="1" applyBorder="1" applyAlignment="1" applyProtection="1">
      <alignment horizontal="center" vertical="center" shrinkToFit="1"/>
      <protection locked="0"/>
    </xf>
    <xf numFmtId="0" fontId="170" fillId="4" borderId="16" xfId="0" applyFont="1" applyFill="1" applyBorder="1" applyAlignment="1" applyProtection="1">
      <alignment horizontal="center" vertical="center" shrinkToFit="1"/>
      <protection locked="0"/>
    </xf>
    <xf numFmtId="0" fontId="170" fillId="4" borderId="17" xfId="0" applyFont="1" applyFill="1" applyBorder="1" applyAlignment="1" applyProtection="1">
      <alignment horizontal="center" vertical="center" shrinkToFit="1"/>
      <protection locked="0"/>
    </xf>
    <xf numFmtId="0" fontId="170" fillId="10" borderId="16" xfId="0" applyFont="1" applyFill="1" applyBorder="1" applyAlignment="1" applyProtection="1">
      <alignment horizontal="center" vertical="center" shrinkToFit="1"/>
      <protection locked="0"/>
    </xf>
    <xf numFmtId="0" fontId="170" fillId="10" borderId="17" xfId="0" applyFont="1" applyFill="1" applyBorder="1" applyAlignment="1" applyProtection="1">
      <alignment horizontal="center" vertical="center" shrinkToFit="1"/>
      <protection locked="0"/>
    </xf>
    <xf numFmtId="0" fontId="147" fillId="56" borderId="34" xfId="0" applyFont="1" applyFill="1" applyBorder="1" applyAlignment="1" applyProtection="1">
      <alignment horizontal="center" vertical="center"/>
      <protection locked="0"/>
    </xf>
    <xf numFmtId="0" fontId="188" fillId="57" borderId="35" xfId="0" applyFont="1" applyFill="1" applyBorder="1" applyAlignment="1" applyProtection="1">
      <alignment horizontal="center" vertical="center" shrinkToFit="1"/>
      <protection locked="0"/>
    </xf>
    <xf numFmtId="0" fontId="189" fillId="50" borderId="36" xfId="0" applyFont="1" applyFill="1" applyBorder="1" applyAlignment="1" applyProtection="1">
      <alignment vertical="center" wrapText="1"/>
      <protection locked="0"/>
    </xf>
    <xf numFmtId="0" fontId="189" fillId="50" borderId="0" xfId="0" applyFont="1" applyFill="1" applyBorder="1" applyAlignment="1" applyProtection="1">
      <alignment vertical="center" wrapText="1"/>
      <protection locked="0"/>
    </xf>
    <xf numFmtId="0" fontId="189" fillId="50" borderId="37" xfId="0" applyFont="1" applyFill="1" applyBorder="1" applyAlignment="1" applyProtection="1">
      <alignment vertical="center" wrapText="1"/>
      <protection locked="0"/>
    </xf>
    <xf numFmtId="0" fontId="189" fillId="0" borderId="38" xfId="0" applyFont="1" applyFill="1" applyBorder="1" applyAlignment="1" applyProtection="1">
      <alignment vertical="center" wrapText="1"/>
      <protection locked="0"/>
    </xf>
    <xf numFmtId="0" fontId="0" fillId="0" borderId="38" xfId="0" applyBorder="1" applyAlignment="1">
      <alignment/>
    </xf>
    <xf numFmtId="0" fontId="147" fillId="0" borderId="38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147" fillId="0" borderId="39" xfId="0" applyFont="1" applyBorder="1" applyAlignment="1">
      <alignment/>
    </xf>
    <xf numFmtId="0" fontId="4" fillId="0" borderId="39" xfId="0" applyFont="1" applyBorder="1" applyAlignment="1">
      <alignment/>
    </xf>
    <xf numFmtId="0" fontId="147" fillId="56" borderId="40" xfId="0" applyFont="1" applyFill="1" applyBorder="1" applyAlignment="1" applyProtection="1">
      <alignment horizontal="center" vertical="center"/>
      <protection locked="0"/>
    </xf>
    <xf numFmtId="167" fontId="190" fillId="11" borderId="16" xfId="0" applyNumberFormat="1" applyFont="1" applyFill="1" applyBorder="1" applyAlignment="1" applyProtection="1">
      <alignment horizontal="center" vertical="center"/>
      <protection locked="0"/>
    </xf>
    <xf numFmtId="167" fontId="190" fillId="17" borderId="16" xfId="0" applyNumberFormat="1" applyFont="1" applyFill="1" applyBorder="1" applyAlignment="1" applyProtection="1">
      <alignment horizontal="center" vertical="center"/>
      <protection locked="0"/>
    </xf>
    <xf numFmtId="167" fontId="190" fillId="33" borderId="16" xfId="0" applyNumberFormat="1" applyFont="1" applyFill="1" applyBorder="1" applyAlignment="1" applyProtection="1">
      <alignment horizontal="center" vertical="center"/>
      <protection locked="0"/>
    </xf>
    <xf numFmtId="167" fontId="190" fillId="36" borderId="16" xfId="0" applyNumberFormat="1" applyFont="1" applyFill="1" applyBorder="1" applyAlignment="1" applyProtection="1">
      <alignment horizontal="center" vertical="center"/>
      <protection locked="0"/>
    </xf>
    <xf numFmtId="167" fontId="190" fillId="6" borderId="16" xfId="0" applyNumberFormat="1" applyFont="1" applyFill="1" applyBorder="1" applyAlignment="1" applyProtection="1">
      <alignment horizontal="center" vertical="center"/>
      <protection locked="0"/>
    </xf>
    <xf numFmtId="167" fontId="190" fillId="12" borderId="16" xfId="0" applyNumberFormat="1" applyFont="1" applyFill="1" applyBorder="1" applyAlignment="1" applyProtection="1">
      <alignment horizontal="center" vertical="center"/>
      <protection locked="0"/>
    </xf>
    <xf numFmtId="167" fontId="190" fillId="4" borderId="16" xfId="0" applyNumberFormat="1" applyFont="1" applyFill="1" applyBorder="1" applyAlignment="1" applyProtection="1">
      <alignment horizontal="center" vertical="center"/>
      <protection locked="0"/>
    </xf>
    <xf numFmtId="167" fontId="190" fillId="10" borderId="16" xfId="0" applyNumberFormat="1" applyFont="1" applyFill="1" applyBorder="1" applyAlignment="1" applyProtection="1">
      <alignment horizontal="center" vertical="center"/>
      <protection locked="0"/>
    </xf>
    <xf numFmtId="167" fontId="190" fillId="7" borderId="16" xfId="0" applyNumberFormat="1" applyFont="1" applyFill="1" applyBorder="1" applyAlignment="1" applyProtection="1">
      <alignment horizontal="center" vertical="center"/>
      <protection locked="0"/>
    </xf>
    <xf numFmtId="167" fontId="190" fillId="13" borderId="16" xfId="0" applyNumberFormat="1" applyFont="1" applyFill="1" applyBorder="1" applyAlignment="1" applyProtection="1">
      <alignment horizontal="center" vertical="center"/>
      <protection locked="0"/>
    </xf>
    <xf numFmtId="167" fontId="191" fillId="53" borderId="16" xfId="0" applyNumberFormat="1" applyFont="1" applyFill="1" applyBorder="1" applyAlignment="1" applyProtection="1">
      <alignment horizontal="center" vertical="center"/>
      <protection locked="0"/>
    </xf>
    <xf numFmtId="167" fontId="190" fillId="37" borderId="16" xfId="0" applyNumberFormat="1" applyFont="1" applyFill="1" applyBorder="1" applyAlignment="1" applyProtection="1">
      <alignment horizontal="center" vertical="center"/>
      <protection locked="0"/>
    </xf>
    <xf numFmtId="167" fontId="190" fillId="34" borderId="16" xfId="0" applyNumberFormat="1" applyFont="1" applyFill="1" applyBorder="1" applyAlignment="1" applyProtection="1">
      <alignment horizontal="center" vertical="center"/>
      <protection locked="0"/>
    </xf>
    <xf numFmtId="167" fontId="192" fillId="35" borderId="16" xfId="0" applyNumberFormat="1" applyFont="1" applyFill="1" applyBorder="1" applyAlignment="1" applyProtection="1">
      <alignment horizontal="center" vertical="center"/>
      <protection locked="0"/>
    </xf>
    <xf numFmtId="167" fontId="192" fillId="39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193" fillId="56" borderId="23" xfId="0" applyFont="1" applyFill="1" applyBorder="1" applyAlignment="1">
      <alignment horizontal="center" vertical="center"/>
    </xf>
    <xf numFmtId="167" fontId="192" fillId="35" borderId="42" xfId="0" applyNumberFormat="1" applyFont="1" applyFill="1" applyBorder="1" applyAlignment="1" applyProtection="1">
      <alignment horizontal="center" vertical="center"/>
      <protection locked="0"/>
    </xf>
    <xf numFmtId="167" fontId="192" fillId="35" borderId="15" xfId="0" applyNumberFormat="1" applyFont="1" applyFill="1" applyBorder="1" applyAlignment="1" applyProtection="1">
      <alignment horizontal="center" vertical="center"/>
      <protection locked="0"/>
    </xf>
    <xf numFmtId="2" fontId="163" fillId="35" borderId="14" xfId="0" applyNumberFormat="1" applyFont="1" applyFill="1" applyBorder="1" applyAlignment="1">
      <alignment horizontal="center" vertical="center"/>
    </xf>
    <xf numFmtId="0" fontId="194" fillId="49" borderId="17" xfId="0" applyFont="1" applyFill="1" applyBorder="1" applyAlignment="1">
      <alignment horizontal="center" vertical="top" wrapText="1"/>
    </xf>
    <xf numFmtId="0" fontId="195" fillId="0" borderId="10" xfId="0" applyFont="1" applyBorder="1" applyAlignment="1">
      <alignment horizontal="left" wrapText="1"/>
    </xf>
    <xf numFmtId="0" fontId="195" fillId="0" borderId="0" xfId="0" applyFont="1" applyAlignment="1">
      <alignment horizontal="left" wrapText="1"/>
    </xf>
    <xf numFmtId="167" fontId="190" fillId="5" borderId="43" xfId="0" applyNumberFormat="1" applyFont="1" applyFill="1" applyBorder="1" applyAlignment="1" applyProtection="1">
      <alignment horizontal="center" vertical="center"/>
      <protection locked="0"/>
    </xf>
    <xf numFmtId="2" fontId="164" fillId="5" borderId="41" xfId="0" applyNumberFormat="1" applyFont="1" applyFill="1" applyBorder="1" applyAlignment="1">
      <alignment horizontal="center" vertical="center"/>
    </xf>
    <xf numFmtId="167" fontId="190" fillId="5" borderId="42" xfId="0" applyNumberFormat="1" applyFont="1" applyFill="1" applyBorder="1" applyAlignment="1" applyProtection="1">
      <alignment horizontal="center" vertical="center"/>
      <protection locked="0"/>
    </xf>
    <xf numFmtId="167" fontId="190" fillId="11" borderId="15" xfId="0" applyNumberFormat="1" applyFont="1" applyFill="1" applyBorder="1" applyAlignment="1" applyProtection="1">
      <alignment horizontal="center" vertical="center"/>
      <protection locked="0"/>
    </xf>
    <xf numFmtId="2" fontId="164" fillId="11" borderId="14" xfId="0" applyNumberFormat="1" applyFont="1" applyFill="1" applyBorder="1" applyAlignment="1">
      <alignment horizontal="center" vertical="center"/>
    </xf>
    <xf numFmtId="167" fontId="190" fillId="11" borderId="43" xfId="0" applyNumberFormat="1" applyFont="1" applyFill="1" applyBorder="1" applyAlignment="1" applyProtection="1">
      <alignment horizontal="center" vertical="center"/>
      <protection locked="0"/>
    </xf>
    <xf numFmtId="2" fontId="164" fillId="11" borderId="41" xfId="0" applyNumberFormat="1" applyFont="1" applyFill="1" applyBorder="1" applyAlignment="1">
      <alignment horizontal="center" vertical="center"/>
    </xf>
    <xf numFmtId="167" fontId="190" fillId="11" borderId="42" xfId="0" applyNumberFormat="1" applyFont="1" applyFill="1" applyBorder="1" applyAlignment="1" applyProtection="1">
      <alignment horizontal="center" vertical="center"/>
      <protection locked="0"/>
    </xf>
    <xf numFmtId="167" fontId="190" fillId="17" borderId="15" xfId="0" applyNumberFormat="1" applyFont="1" applyFill="1" applyBorder="1" applyAlignment="1" applyProtection="1">
      <alignment horizontal="center" vertical="center"/>
      <protection locked="0"/>
    </xf>
    <xf numFmtId="2" fontId="164" fillId="17" borderId="14" xfId="0" applyNumberFormat="1" applyFont="1" applyFill="1" applyBorder="1" applyAlignment="1">
      <alignment horizontal="center" vertical="center"/>
    </xf>
    <xf numFmtId="167" fontId="190" fillId="17" borderId="43" xfId="0" applyNumberFormat="1" applyFont="1" applyFill="1" applyBorder="1" applyAlignment="1" applyProtection="1">
      <alignment horizontal="center" vertical="center"/>
      <protection locked="0"/>
    </xf>
    <xf numFmtId="2" fontId="164" fillId="17" borderId="41" xfId="0" applyNumberFormat="1" applyFont="1" applyFill="1" applyBorder="1" applyAlignment="1">
      <alignment horizontal="center" vertical="center"/>
    </xf>
    <xf numFmtId="167" fontId="190" fillId="17" borderId="42" xfId="0" applyNumberFormat="1" applyFont="1" applyFill="1" applyBorder="1" applyAlignment="1" applyProtection="1">
      <alignment horizontal="center" vertical="center"/>
      <protection locked="0"/>
    </xf>
    <xf numFmtId="167" fontId="190" fillId="33" borderId="15" xfId="0" applyNumberFormat="1" applyFont="1" applyFill="1" applyBorder="1" applyAlignment="1" applyProtection="1">
      <alignment horizontal="center" vertical="center"/>
      <protection locked="0"/>
    </xf>
    <xf numFmtId="2" fontId="164" fillId="33" borderId="14" xfId="0" applyNumberFormat="1" applyFont="1" applyFill="1" applyBorder="1" applyAlignment="1">
      <alignment horizontal="center" vertical="center"/>
    </xf>
    <xf numFmtId="167" fontId="190" fillId="33" borderId="43" xfId="0" applyNumberFormat="1" applyFont="1" applyFill="1" applyBorder="1" applyAlignment="1" applyProtection="1">
      <alignment horizontal="center" vertical="center"/>
      <protection locked="0"/>
    </xf>
    <xf numFmtId="2" fontId="164" fillId="33" borderId="41" xfId="0" applyNumberFormat="1" applyFont="1" applyFill="1" applyBorder="1" applyAlignment="1">
      <alignment horizontal="center" vertical="center"/>
    </xf>
    <xf numFmtId="167" fontId="190" fillId="33" borderId="42" xfId="0" applyNumberFormat="1" applyFont="1" applyFill="1" applyBorder="1" applyAlignment="1" applyProtection="1">
      <alignment horizontal="center" vertical="center"/>
      <protection locked="0"/>
    </xf>
    <xf numFmtId="167" fontId="190" fillId="36" borderId="15" xfId="0" applyNumberFormat="1" applyFont="1" applyFill="1" applyBorder="1" applyAlignment="1" applyProtection="1">
      <alignment horizontal="center" vertical="center"/>
      <protection locked="0"/>
    </xf>
    <xf numFmtId="2" fontId="164" fillId="36" borderId="14" xfId="0" applyNumberFormat="1" applyFont="1" applyFill="1" applyBorder="1" applyAlignment="1">
      <alignment horizontal="center" vertical="center"/>
    </xf>
    <xf numFmtId="167" fontId="190" fillId="6" borderId="15" xfId="0" applyNumberFormat="1" applyFont="1" applyFill="1" applyBorder="1" applyAlignment="1" applyProtection="1">
      <alignment horizontal="center" vertical="center"/>
      <protection locked="0"/>
    </xf>
    <xf numFmtId="2" fontId="164" fillId="6" borderId="14" xfId="0" applyNumberFormat="1" applyFont="1" applyFill="1" applyBorder="1" applyAlignment="1">
      <alignment horizontal="center" vertical="center"/>
    </xf>
    <xf numFmtId="167" fontId="190" fillId="6" borderId="43" xfId="0" applyNumberFormat="1" applyFont="1" applyFill="1" applyBorder="1" applyAlignment="1" applyProtection="1">
      <alignment horizontal="center" vertical="center"/>
      <protection locked="0"/>
    </xf>
    <xf numFmtId="2" fontId="164" fillId="6" borderId="41" xfId="0" applyNumberFormat="1" applyFont="1" applyFill="1" applyBorder="1" applyAlignment="1">
      <alignment horizontal="center" vertical="center"/>
    </xf>
    <xf numFmtId="167" fontId="190" fillId="6" borderId="42" xfId="0" applyNumberFormat="1" applyFont="1" applyFill="1" applyBorder="1" applyAlignment="1" applyProtection="1">
      <alignment horizontal="center" vertical="center"/>
      <protection locked="0"/>
    </xf>
    <xf numFmtId="167" fontId="190" fillId="12" borderId="15" xfId="0" applyNumberFormat="1" applyFont="1" applyFill="1" applyBorder="1" applyAlignment="1" applyProtection="1">
      <alignment horizontal="center" vertical="center"/>
      <protection locked="0"/>
    </xf>
    <xf numFmtId="2" fontId="164" fillId="12" borderId="14" xfId="0" applyNumberFormat="1" applyFont="1" applyFill="1" applyBorder="1" applyAlignment="1">
      <alignment horizontal="center" vertical="center"/>
    </xf>
    <xf numFmtId="167" fontId="190" fillId="12" borderId="43" xfId="0" applyNumberFormat="1" applyFont="1" applyFill="1" applyBorder="1" applyAlignment="1" applyProtection="1">
      <alignment horizontal="center" vertical="center"/>
      <protection locked="0"/>
    </xf>
    <xf numFmtId="2" fontId="164" fillId="12" borderId="41" xfId="0" applyNumberFormat="1" applyFont="1" applyFill="1" applyBorder="1" applyAlignment="1">
      <alignment horizontal="center" vertical="center"/>
    </xf>
    <xf numFmtId="167" fontId="190" fillId="12" borderId="42" xfId="0" applyNumberFormat="1" applyFont="1" applyFill="1" applyBorder="1" applyAlignment="1" applyProtection="1">
      <alignment horizontal="center" vertical="center"/>
      <protection locked="0"/>
    </xf>
    <xf numFmtId="167" fontId="190" fillId="4" borderId="15" xfId="0" applyNumberFormat="1" applyFont="1" applyFill="1" applyBorder="1" applyAlignment="1" applyProtection="1">
      <alignment horizontal="center" vertical="center"/>
      <protection locked="0"/>
    </xf>
    <xf numFmtId="2" fontId="164" fillId="4" borderId="14" xfId="0" applyNumberFormat="1" applyFont="1" applyFill="1" applyBorder="1" applyAlignment="1">
      <alignment horizontal="center" vertical="center"/>
    </xf>
    <xf numFmtId="167" fontId="190" fillId="4" borderId="43" xfId="0" applyNumberFormat="1" applyFont="1" applyFill="1" applyBorder="1" applyAlignment="1" applyProtection="1">
      <alignment horizontal="center" vertical="center"/>
      <protection locked="0"/>
    </xf>
    <xf numFmtId="2" fontId="164" fillId="4" borderId="41" xfId="0" applyNumberFormat="1" applyFont="1" applyFill="1" applyBorder="1" applyAlignment="1">
      <alignment horizontal="center" vertical="center"/>
    </xf>
    <xf numFmtId="167" fontId="190" fillId="4" borderId="42" xfId="0" applyNumberFormat="1" applyFont="1" applyFill="1" applyBorder="1" applyAlignment="1" applyProtection="1">
      <alignment horizontal="center" vertical="center"/>
      <protection locked="0"/>
    </xf>
    <xf numFmtId="167" fontId="190" fillId="10" borderId="15" xfId="0" applyNumberFormat="1" applyFont="1" applyFill="1" applyBorder="1" applyAlignment="1" applyProtection="1">
      <alignment horizontal="center" vertical="center"/>
      <protection locked="0"/>
    </xf>
    <xf numFmtId="2" fontId="164" fillId="10" borderId="14" xfId="0" applyNumberFormat="1" applyFont="1" applyFill="1" applyBorder="1" applyAlignment="1">
      <alignment horizontal="center" vertical="center"/>
    </xf>
    <xf numFmtId="167" fontId="190" fillId="7" borderId="15" xfId="0" applyNumberFormat="1" applyFont="1" applyFill="1" applyBorder="1" applyAlignment="1" applyProtection="1">
      <alignment horizontal="center" vertical="center"/>
      <protection locked="0"/>
    </xf>
    <xf numFmtId="2" fontId="164" fillId="7" borderId="14" xfId="0" applyNumberFormat="1" applyFont="1" applyFill="1" applyBorder="1" applyAlignment="1">
      <alignment horizontal="center" vertical="center"/>
    </xf>
    <xf numFmtId="167" fontId="190" fillId="13" borderId="15" xfId="0" applyNumberFormat="1" applyFont="1" applyFill="1" applyBorder="1" applyAlignment="1" applyProtection="1">
      <alignment horizontal="center" vertical="center"/>
      <protection locked="0"/>
    </xf>
    <xf numFmtId="2" fontId="164" fillId="13" borderId="14" xfId="0" applyNumberFormat="1" applyFont="1" applyFill="1" applyBorder="1" applyAlignment="1">
      <alignment horizontal="center" vertical="center"/>
    </xf>
    <xf numFmtId="167" fontId="190" fillId="13" borderId="43" xfId="0" applyNumberFormat="1" applyFont="1" applyFill="1" applyBorder="1" applyAlignment="1" applyProtection="1">
      <alignment horizontal="center" vertical="center"/>
      <protection locked="0"/>
    </xf>
    <xf numFmtId="2" fontId="164" fillId="13" borderId="41" xfId="0" applyNumberFormat="1" applyFont="1" applyFill="1" applyBorder="1" applyAlignment="1">
      <alignment horizontal="center" vertical="center"/>
    </xf>
    <xf numFmtId="167" fontId="190" fillId="13" borderId="42" xfId="0" applyNumberFormat="1" applyFont="1" applyFill="1" applyBorder="1" applyAlignment="1" applyProtection="1">
      <alignment horizontal="center" vertical="center"/>
      <protection locked="0"/>
    </xf>
    <xf numFmtId="167" fontId="191" fillId="53" borderId="15" xfId="0" applyNumberFormat="1" applyFont="1" applyFill="1" applyBorder="1" applyAlignment="1" applyProtection="1">
      <alignment horizontal="center" vertical="center"/>
      <protection locked="0"/>
    </xf>
    <xf numFmtId="2" fontId="162" fillId="53" borderId="14" xfId="0" applyNumberFormat="1" applyFont="1" applyFill="1" applyBorder="1" applyAlignment="1">
      <alignment horizontal="center" vertical="center"/>
    </xf>
    <xf numFmtId="167" fontId="191" fillId="53" borderId="43" xfId="0" applyNumberFormat="1" applyFont="1" applyFill="1" applyBorder="1" applyAlignment="1" applyProtection="1">
      <alignment horizontal="center" vertical="center"/>
      <protection locked="0"/>
    </xf>
    <xf numFmtId="2" fontId="162" fillId="53" borderId="41" xfId="0" applyNumberFormat="1" applyFont="1" applyFill="1" applyBorder="1" applyAlignment="1">
      <alignment horizontal="center" vertical="center"/>
    </xf>
    <xf numFmtId="167" fontId="191" fillId="53" borderId="42" xfId="0" applyNumberFormat="1" applyFont="1" applyFill="1" applyBorder="1" applyAlignment="1" applyProtection="1">
      <alignment horizontal="center" vertical="center"/>
      <protection locked="0"/>
    </xf>
    <xf numFmtId="167" fontId="191" fillId="49" borderId="43" xfId="0" applyNumberFormat="1" applyFont="1" applyFill="1" applyBorder="1" applyAlignment="1" applyProtection="1">
      <alignment horizontal="center" vertical="center"/>
      <protection locked="0"/>
    </xf>
    <xf numFmtId="2" fontId="162" fillId="49" borderId="41" xfId="0" applyNumberFormat="1" applyFont="1" applyFill="1" applyBorder="1" applyAlignment="1">
      <alignment horizontal="center" vertical="center"/>
    </xf>
    <xf numFmtId="167" fontId="191" fillId="49" borderId="42" xfId="0" applyNumberFormat="1" applyFont="1" applyFill="1" applyBorder="1" applyAlignment="1" applyProtection="1">
      <alignment horizontal="center" vertical="center"/>
      <protection locked="0"/>
    </xf>
    <xf numFmtId="167" fontId="190" fillId="37" borderId="15" xfId="0" applyNumberFormat="1" applyFont="1" applyFill="1" applyBorder="1" applyAlignment="1" applyProtection="1">
      <alignment horizontal="center" vertical="center"/>
      <protection locked="0"/>
    </xf>
    <xf numFmtId="2" fontId="164" fillId="37" borderId="14" xfId="0" applyNumberFormat="1" applyFont="1" applyFill="1" applyBorder="1" applyAlignment="1">
      <alignment horizontal="center" vertical="center"/>
    </xf>
    <xf numFmtId="167" fontId="190" fillId="34" borderId="15" xfId="0" applyNumberFormat="1" applyFont="1" applyFill="1" applyBorder="1" applyAlignment="1" applyProtection="1">
      <alignment horizontal="center" vertical="center"/>
      <protection locked="0"/>
    </xf>
    <xf numFmtId="2" fontId="164" fillId="34" borderId="14" xfId="0" applyNumberFormat="1" applyFont="1" applyFill="1" applyBorder="1" applyAlignment="1">
      <alignment horizontal="center" vertical="center"/>
    </xf>
    <xf numFmtId="167" fontId="190" fillId="34" borderId="43" xfId="0" applyNumberFormat="1" applyFont="1" applyFill="1" applyBorder="1" applyAlignment="1" applyProtection="1">
      <alignment horizontal="center" vertical="center"/>
      <protection locked="0"/>
    </xf>
    <xf numFmtId="2" fontId="164" fillId="34" borderId="41" xfId="0" applyNumberFormat="1" applyFont="1" applyFill="1" applyBorder="1" applyAlignment="1">
      <alignment horizontal="center" vertical="center"/>
    </xf>
    <xf numFmtId="167" fontId="190" fillId="34" borderId="42" xfId="0" applyNumberFormat="1" applyFont="1" applyFill="1" applyBorder="1" applyAlignment="1" applyProtection="1">
      <alignment horizontal="center" vertical="center"/>
      <protection locked="0"/>
    </xf>
    <xf numFmtId="167" fontId="192" fillId="35" borderId="43" xfId="0" applyNumberFormat="1" applyFont="1" applyFill="1" applyBorder="1" applyAlignment="1" applyProtection="1">
      <alignment horizontal="center" vertical="center"/>
      <protection locked="0"/>
    </xf>
    <xf numFmtId="2" fontId="163" fillId="35" borderId="41" xfId="0" applyNumberFormat="1" applyFont="1" applyFill="1" applyBorder="1" applyAlignment="1">
      <alignment horizontal="center" vertical="center"/>
    </xf>
    <xf numFmtId="167" fontId="192" fillId="39" borderId="15" xfId="0" applyNumberFormat="1" applyFont="1" applyFill="1" applyBorder="1" applyAlignment="1" applyProtection="1">
      <alignment horizontal="center" vertical="center"/>
      <protection locked="0"/>
    </xf>
    <xf numFmtId="2" fontId="163" fillId="39" borderId="14" xfId="0" applyNumberFormat="1" applyFont="1" applyFill="1" applyBorder="1" applyAlignment="1">
      <alignment horizontal="center" vertical="center"/>
    </xf>
    <xf numFmtId="0" fontId="167" fillId="11" borderId="17" xfId="0" applyFont="1" applyFill="1" applyBorder="1" applyAlignment="1">
      <alignment shrinkToFit="1"/>
    </xf>
    <xf numFmtId="0" fontId="167" fillId="12" borderId="17" xfId="0" applyFont="1" applyFill="1" applyBorder="1" applyAlignment="1">
      <alignment shrinkToFit="1"/>
    </xf>
    <xf numFmtId="0" fontId="167" fillId="16" borderId="17" xfId="0" applyFont="1" applyFill="1" applyBorder="1" applyAlignment="1">
      <alignment shrinkToFit="1"/>
    </xf>
    <xf numFmtId="0" fontId="167" fillId="19" borderId="17" xfId="0" applyFont="1" applyFill="1" applyBorder="1" applyAlignment="1">
      <alignment shrinkToFit="1"/>
    </xf>
    <xf numFmtId="0" fontId="183" fillId="50" borderId="17" xfId="0" applyFont="1" applyFill="1" applyBorder="1" applyAlignment="1">
      <alignment shrinkToFit="1"/>
    </xf>
    <xf numFmtId="0" fontId="167" fillId="34" borderId="17" xfId="0" applyFont="1" applyFill="1" applyBorder="1" applyAlignment="1">
      <alignment shrinkToFit="1"/>
    </xf>
    <xf numFmtId="0" fontId="173" fillId="0" borderId="0" xfId="0" applyFont="1" applyFill="1" applyBorder="1" applyAlignment="1">
      <alignment horizontal="center" vertical="center"/>
    </xf>
    <xf numFmtId="2" fontId="173" fillId="0" borderId="0" xfId="0" applyNumberFormat="1" applyFont="1" applyFill="1" applyBorder="1" applyAlignment="1">
      <alignment horizontal="center" vertical="center"/>
    </xf>
    <xf numFmtId="167" fontId="158" fillId="0" borderId="15" xfId="0" applyNumberFormat="1" applyFont="1" applyFill="1" applyBorder="1" applyAlignment="1" quotePrefix="1">
      <alignment horizontal="center" vertical="center"/>
    </xf>
    <xf numFmtId="166" fontId="158" fillId="0" borderId="14" xfId="0" applyNumberFormat="1" applyFont="1" applyFill="1" applyBorder="1" applyAlignment="1">
      <alignment horizontal="center" vertical="center"/>
    </xf>
    <xf numFmtId="167" fontId="158" fillId="0" borderId="16" xfId="0" applyNumberFormat="1" applyFont="1" applyFill="1" applyBorder="1" applyAlignment="1" quotePrefix="1">
      <alignment horizontal="center" vertical="center"/>
    </xf>
    <xf numFmtId="0" fontId="0" fillId="58" borderId="10" xfId="0" applyFill="1" applyBorder="1" applyAlignment="1">
      <alignment/>
    </xf>
    <xf numFmtId="0" fontId="0" fillId="58" borderId="44" xfId="0" applyFill="1" applyBorder="1" applyAlignment="1">
      <alignment horizontal="center" vertical="center"/>
    </xf>
    <xf numFmtId="0" fontId="0" fillId="58" borderId="45" xfId="0" applyFill="1" applyBorder="1" applyAlignment="1">
      <alignment horizontal="center" vertical="center"/>
    </xf>
    <xf numFmtId="0" fontId="0" fillId="58" borderId="46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47" xfId="0" applyFill="1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0" fontId="0" fillId="45" borderId="4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44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/>
    </xf>
    <xf numFmtId="0" fontId="0" fillId="6" borderId="47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50" xfId="0" applyFill="1" applyBorder="1" applyAlignment="1">
      <alignment/>
    </xf>
    <xf numFmtId="0" fontId="0" fillId="5" borderId="44" xfId="0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/>
    </xf>
    <xf numFmtId="0" fontId="196" fillId="7" borderId="11" xfId="0" applyFont="1" applyFill="1" applyBorder="1" applyAlignment="1">
      <alignment/>
    </xf>
    <xf numFmtId="0" fontId="196" fillId="58" borderId="11" xfId="0" applyFont="1" applyFill="1" applyBorder="1" applyAlignment="1">
      <alignment/>
    </xf>
    <xf numFmtId="0" fontId="196" fillId="45" borderId="50" xfId="0" applyFont="1" applyFill="1" applyBorder="1" applyAlignment="1">
      <alignment/>
    </xf>
    <xf numFmtId="0" fontId="196" fillId="6" borderId="50" xfId="0" applyFont="1" applyFill="1" applyBorder="1" applyAlignment="1">
      <alignment/>
    </xf>
    <xf numFmtId="0" fontId="196" fillId="6" borderId="10" xfId="0" applyFont="1" applyFill="1" applyBorder="1" applyAlignment="1">
      <alignment/>
    </xf>
    <xf numFmtId="0" fontId="196" fillId="6" borderId="49" xfId="0" applyFont="1" applyFill="1" applyBorder="1" applyAlignment="1">
      <alignment/>
    </xf>
    <xf numFmtId="0" fontId="196" fillId="6" borderId="50" xfId="0" applyFont="1" applyFill="1" applyBorder="1" applyAlignment="1">
      <alignment horizontal="center" vertical="center"/>
    </xf>
    <xf numFmtId="0" fontId="196" fillId="6" borderId="10" xfId="0" applyFont="1" applyFill="1" applyBorder="1" applyAlignment="1">
      <alignment horizontal="center" vertical="center"/>
    </xf>
    <xf numFmtId="0" fontId="196" fillId="6" borderId="49" xfId="0" applyFont="1" applyFill="1" applyBorder="1" applyAlignment="1">
      <alignment horizontal="center" vertical="center"/>
    </xf>
    <xf numFmtId="0" fontId="196" fillId="7" borderId="11" xfId="0" applyFont="1" applyFill="1" applyBorder="1" applyAlignment="1">
      <alignment horizontal="center" vertical="center"/>
    </xf>
    <xf numFmtId="0" fontId="196" fillId="7" borderId="10" xfId="0" applyFont="1" applyFill="1" applyBorder="1" applyAlignment="1">
      <alignment horizontal="center" vertical="center"/>
    </xf>
    <xf numFmtId="0" fontId="196" fillId="58" borderId="11" xfId="0" applyFont="1" applyFill="1" applyBorder="1" applyAlignment="1">
      <alignment horizontal="center" vertical="center"/>
    </xf>
    <xf numFmtId="0" fontId="196" fillId="58" borderId="10" xfId="0" applyFont="1" applyFill="1" applyBorder="1" applyAlignment="1">
      <alignment horizontal="center" vertical="center"/>
    </xf>
    <xf numFmtId="0" fontId="196" fillId="45" borderId="50" xfId="0" applyFont="1" applyFill="1" applyBorder="1" applyAlignment="1">
      <alignment horizontal="center" vertical="center"/>
    </xf>
    <xf numFmtId="0" fontId="196" fillId="45" borderId="10" xfId="0" applyFont="1" applyFill="1" applyBorder="1" applyAlignment="1">
      <alignment horizontal="center" vertical="center"/>
    </xf>
    <xf numFmtId="0" fontId="196" fillId="7" borderId="49" xfId="0" applyFont="1" applyFill="1" applyBorder="1" applyAlignment="1">
      <alignment horizontal="center" vertical="center"/>
    </xf>
    <xf numFmtId="0" fontId="196" fillId="58" borderId="46" xfId="0" applyFont="1" applyFill="1" applyBorder="1" applyAlignment="1">
      <alignment horizontal="center" vertical="center"/>
    </xf>
    <xf numFmtId="0" fontId="196" fillId="45" borderId="49" xfId="0" applyFont="1" applyFill="1" applyBorder="1" applyAlignment="1">
      <alignment horizontal="center" vertical="center"/>
    </xf>
    <xf numFmtId="0" fontId="196" fillId="0" borderId="0" xfId="0" applyFont="1" applyAlignment="1">
      <alignment horizontal="center" vertical="center"/>
    </xf>
    <xf numFmtId="0" fontId="196" fillId="5" borderId="50" xfId="0" applyFont="1" applyFill="1" applyBorder="1" applyAlignment="1">
      <alignment horizontal="center" vertical="center"/>
    </xf>
    <xf numFmtId="0" fontId="196" fillId="5" borderId="10" xfId="0" applyFont="1" applyFill="1" applyBorder="1" applyAlignment="1">
      <alignment horizontal="center" vertical="center"/>
    </xf>
    <xf numFmtId="0" fontId="196" fillId="5" borderId="49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197" fillId="56" borderId="0" xfId="0" applyFont="1" applyFill="1" applyAlignment="1">
      <alignment horizontal="right" vertical="center"/>
    </xf>
    <xf numFmtId="0" fontId="196" fillId="5" borderId="10" xfId="0" applyFont="1" applyFill="1" applyBorder="1" applyAlignment="1">
      <alignment/>
    </xf>
    <xf numFmtId="1" fontId="198" fillId="6" borderId="51" xfId="0" applyNumberFormat="1" applyFont="1" applyFill="1" applyBorder="1" applyAlignment="1">
      <alignment horizontal="left" vertical="center"/>
    </xf>
    <xf numFmtId="1" fontId="198" fillId="6" borderId="52" xfId="0" applyNumberFormat="1" applyFont="1" applyFill="1" applyBorder="1" applyAlignment="1">
      <alignment horizontal="left" vertical="center"/>
    </xf>
    <xf numFmtId="0" fontId="196" fillId="6" borderId="21" xfId="0" applyFont="1" applyFill="1" applyBorder="1" applyAlignment="1" applyProtection="1">
      <alignment horizontal="center" vertical="center"/>
      <protection locked="0"/>
    </xf>
    <xf numFmtId="0" fontId="196" fillId="6" borderId="53" xfId="0" applyFont="1" applyFill="1" applyBorder="1" applyAlignment="1" applyProtection="1">
      <alignment horizontal="center" vertical="center"/>
      <protection locked="0"/>
    </xf>
    <xf numFmtId="2" fontId="190" fillId="0" borderId="14" xfId="0" applyNumberFormat="1" applyFont="1" applyFill="1" applyBorder="1" applyAlignment="1">
      <alignment vertical="center"/>
    </xf>
    <xf numFmtId="166" fontId="167" fillId="0" borderId="0" xfId="0" applyNumberFormat="1" applyFont="1" applyBorder="1" applyAlignment="1">
      <alignment/>
    </xf>
    <xf numFmtId="0" fontId="179" fillId="0" borderId="14" xfId="0" applyFont="1" applyBorder="1" applyAlignment="1">
      <alignment/>
    </xf>
    <xf numFmtId="2" fontId="167" fillId="11" borderId="54" xfId="0" applyNumberFormat="1" applyFont="1" applyFill="1" applyBorder="1" applyAlignment="1">
      <alignment horizontal="center" vertical="center"/>
    </xf>
    <xf numFmtId="2" fontId="167" fillId="11" borderId="17" xfId="0" applyNumberFormat="1" applyFont="1" applyFill="1" applyBorder="1" applyAlignment="1">
      <alignment horizontal="center" vertical="center"/>
    </xf>
    <xf numFmtId="2" fontId="167" fillId="11" borderId="55" xfId="0" applyNumberFormat="1" applyFont="1" applyFill="1" applyBorder="1" applyAlignment="1">
      <alignment horizontal="center" vertical="center"/>
    </xf>
    <xf numFmtId="2" fontId="167" fillId="12" borderId="54" xfId="0" applyNumberFormat="1" applyFont="1" applyFill="1" applyBorder="1" applyAlignment="1">
      <alignment horizontal="center" vertical="center"/>
    </xf>
    <xf numFmtId="2" fontId="167" fillId="12" borderId="55" xfId="0" applyNumberFormat="1" applyFont="1" applyFill="1" applyBorder="1" applyAlignment="1">
      <alignment horizontal="center" vertical="center"/>
    </xf>
    <xf numFmtId="2" fontId="167" fillId="16" borderId="54" xfId="0" applyNumberFormat="1" applyFont="1" applyFill="1" applyBorder="1" applyAlignment="1">
      <alignment horizontal="center" vertical="center"/>
    </xf>
    <xf numFmtId="2" fontId="167" fillId="16" borderId="55" xfId="0" applyNumberFormat="1" applyFont="1" applyFill="1" applyBorder="1" applyAlignment="1">
      <alignment horizontal="center" vertical="center"/>
    </xf>
    <xf numFmtId="2" fontId="167" fillId="19" borderId="54" xfId="0" applyNumberFormat="1" applyFont="1" applyFill="1" applyBorder="1" applyAlignment="1">
      <alignment horizontal="center" vertical="center"/>
    </xf>
    <xf numFmtId="2" fontId="167" fillId="19" borderId="55" xfId="0" applyNumberFormat="1" applyFont="1" applyFill="1" applyBorder="1" applyAlignment="1">
      <alignment horizontal="center" vertical="center"/>
    </xf>
    <xf numFmtId="2" fontId="183" fillId="49" borderId="54" xfId="0" applyNumberFormat="1" applyFont="1" applyFill="1" applyBorder="1" applyAlignment="1">
      <alignment horizontal="center" vertical="center"/>
    </xf>
    <xf numFmtId="2" fontId="183" fillId="49" borderId="55" xfId="0" applyNumberFormat="1" applyFont="1" applyFill="1" applyBorder="1" applyAlignment="1">
      <alignment horizontal="center" vertical="center"/>
    </xf>
    <xf numFmtId="2" fontId="167" fillId="34" borderId="54" xfId="0" applyNumberFormat="1" applyFont="1" applyFill="1" applyBorder="1" applyAlignment="1">
      <alignment horizontal="center" vertical="center"/>
    </xf>
    <xf numFmtId="2" fontId="167" fillId="34" borderId="17" xfId="0" applyNumberFormat="1" applyFont="1" applyFill="1" applyBorder="1" applyAlignment="1">
      <alignment horizontal="center" vertical="center"/>
    </xf>
    <xf numFmtId="2" fontId="167" fillId="34" borderId="55" xfId="0" applyNumberFormat="1" applyFont="1" applyFill="1" applyBorder="1" applyAlignment="1">
      <alignment horizontal="center" vertical="center"/>
    </xf>
    <xf numFmtId="2" fontId="168" fillId="40" borderId="22" xfId="0" applyNumberFormat="1" applyFont="1" applyFill="1" applyBorder="1" applyAlignment="1">
      <alignment horizontal="center" vertical="center"/>
    </xf>
    <xf numFmtId="2" fontId="169" fillId="41" borderId="17" xfId="0" applyNumberFormat="1" applyFont="1" applyFill="1" applyBorder="1" applyAlignment="1">
      <alignment horizontal="center" vertical="center"/>
    </xf>
    <xf numFmtId="0" fontId="0" fillId="45" borderId="0" xfId="0" applyFill="1" applyAlignment="1" applyProtection="1">
      <alignment horizontal="center" vertical="center"/>
      <protection locked="0"/>
    </xf>
    <xf numFmtId="2" fontId="167" fillId="42" borderId="54" xfId="0" applyNumberFormat="1" applyFont="1" applyFill="1" applyBorder="1" applyAlignment="1">
      <alignment horizontal="center" vertical="center"/>
    </xf>
    <xf numFmtId="2" fontId="167" fillId="43" borderId="54" xfId="0" applyNumberFormat="1" applyFont="1" applyFill="1" applyBorder="1" applyAlignment="1">
      <alignment horizontal="center" vertical="center"/>
    </xf>
    <xf numFmtId="2" fontId="167" fillId="43" borderId="55" xfId="0" applyNumberFormat="1" applyFont="1" applyFill="1" applyBorder="1" applyAlignment="1">
      <alignment horizontal="center" vertical="center"/>
    </xf>
    <xf numFmtId="2" fontId="167" fillId="44" borderId="54" xfId="0" applyNumberFormat="1" applyFont="1" applyFill="1" applyBorder="1" applyAlignment="1">
      <alignment horizontal="center" vertical="center"/>
    </xf>
    <xf numFmtId="2" fontId="167" fillId="44" borderId="55" xfId="0" applyNumberFormat="1" applyFont="1" applyFill="1" applyBorder="1" applyAlignment="1">
      <alignment horizontal="center" vertical="center"/>
    </xf>
    <xf numFmtId="164" fontId="167" fillId="11" borderId="54" xfId="0" applyNumberFormat="1" applyFont="1" applyFill="1" applyBorder="1" applyAlignment="1">
      <alignment horizontal="center" vertical="center"/>
    </xf>
    <xf numFmtId="164" fontId="167" fillId="11" borderId="17" xfId="0" applyNumberFormat="1" applyFont="1" applyFill="1" applyBorder="1" applyAlignment="1">
      <alignment horizontal="center" vertical="center"/>
    </xf>
    <xf numFmtId="164" fontId="167" fillId="11" borderId="55" xfId="0" applyNumberFormat="1" applyFont="1" applyFill="1" applyBorder="1" applyAlignment="1">
      <alignment horizontal="center" vertical="center"/>
    </xf>
    <xf numFmtId="164" fontId="167" fillId="12" borderId="54" xfId="0" applyNumberFormat="1" applyFont="1" applyFill="1" applyBorder="1" applyAlignment="1">
      <alignment horizontal="center" vertical="center"/>
    </xf>
    <xf numFmtId="164" fontId="167" fillId="12" borderId="55" xfId="0" applyNumberFormat="1" applyFont="1" applyFill="1" applyBorder="1" applyAlignment="1">
      <alignment horizontal="center" vertical="center"/>
    </xf>
    <xf numFmtId="164" fontId="167" fillId="16" borderId="54" xfId="0" applyNumberFormat="1" applyFont="1" applyFill="1" applyBorder="1" applyAlignment="1">
      <alignment horizontal="center" vertical="center"/>
    </xf>
    <xf numFmtId="164" fontId="167" fillId="16" borderId="55" xfId="0" applyNumberFormat="1" applyFont="1" applyFill="1" applyBorder="1" applyAlignment="1">
      <alignment horizontal="center" vertical="center"/>
    </xf>
    <xf numFmtId="164" fontId="167" fillId="19" borderId="54" xfId="0" applyNumberFormat="1" applyFont="1" applyFill="1" applyBorder="1" applyAlignment="1">
      <alignment horizontal="center" vertical="center"/>
    </xf>
    <xf numFmtId="164" fontId="167" fillId="19" borderId="55" xfId="0" applyNumberFormat="1" applyFont="1" applyFill="1" applyBorder="1" applyAlignment="1">
      <alignment horizontal="center" vertical="center"/>
    </xf>
    <xf numFmtId="164" fontId="183" fillId="49" borderId="54" xfId="0" applyNumberFormat="1" applyFont="1" applyFill="1" applyBorder="1" applyAlignment="1">
      <alignment horizontal="center" vertical="center"/>
    </xf>
    <xf numFmtId="164" fontId="183" fillId="49" borderId="55" xfId="0" applyNumberFormat="1" applyFont="1" applyFill="1" applyBorder="1" applyAlignment="1">
      <alignment horizontal="center" vertical="center"/>
    </xf>
    <xf numFmtId="164" fontId="167" fillId="34" borderId="54" xfId="0" applyNumberFormat="1" applyFont="1" applyFill="1" applyBorder="1" applyAlignment="1">
      <alignment horizontal="center" vertical="center"/>
    </xf>
    <xf numFmtId="164" fontId="167" fillId="34" borderId="17" xfId="0" applyNumberFormat="1" applyFont="1" applyFill="1" applyBorder="1" applyAlignment="1">
      <alignment horizontal="center" vertical="center"/>
    </xf>
    <xf numFmtId="164" fontId="167" fillId="34" borderId="55" xfId="0" applyNumberFormat="1" applyFont="1" applyFill="1" applyBorder="1" applyAlignment="1">
      <alignment horizontal="center" vertical="center"/>
    </xf>
    <xf numFmtId="166" fontId="167" fillId="0" borderId="0" xfId="0" applyNumberFormat="1" applyFont="1" applyBorder="1" applyAlignment="1">
      <alignment horizontal="center" vertical="center"/>
    </xf>
    <xf numFmtId="0" fontId="0" fillId="45" borderId="0" xfId="0" applyFill="1" applyAlignment="1" applyProtection="1">
      <alignment horizontal="left" wrapText="1"/>
      <protection locked="0"/>
    </xf>
    <xf numFmtId="0" fontId="0" fillId="0" borderId="43" xfId="0" applyBorder="1" applyAlignment="1">
      <alignment horizontal="center" vertical="center" wrapText="1"/>
    </xf>
    <xf numFmtId="0" fontId="199" fillId="11" borderId="56" xfId="0" applyFont="1" applyFill="1" applyBorder="1" applyAlignment="1">
      <alignment vertical="center" wrapText="1"/>
    </xf>
    <xf numFmtId="0" fontId="199" fillId="11" borderId="16" xfId="0" applyFont="1" applyFill="1" applyBorder="1" applyAlignment="1">
      <alignment vertical="center" wrapText="1"/>
    </xf>
    <xf numFmtId="0" fontId="199" fillId="11" borderId="16" xfId="0" applyFont="1" applyFill="1" applyBorder="1" applyAlignment="1">
      <alignment vertical="center" shrinkToFit="1"/>
    </xf>
    <xf numFmtId="0" fontId="199" fillId="11" borderId="57" xfId="0" applyFont="1" applyFill="1" applyBorder="1" applyAlignment="1">
      <alignment vertical="center" shrinkToFit="1"/>
    </xf>
    <xf numFmtId="0" fontId="199" fillId="12" borderId="56" xfId="0" applyFont="1" applyFill="1" applyBorder="1" applyAlignment="1">
      <alignment vertical="center" shrinkToFit="1"/>
    </xf>
    <xf numFmtId="0" fontId="199" fillId="12" borderId="57" xfId="0" applyFont="1" applyFill="1" applyBorder="1" applyAlignment="1">
      <alignment vertical="center" shrinkToFit="1"/>
    </xf>
    <xf numFmtId="0" fontId="199" fillId="16" borderId="56" xfId="0" applyFont="1" applyFill="1" applyBorder="1" applyAlignment="1">
      <alignment vertical="center" shrinkToFit="1"/>
    </xf>
    <xf numFmtId="0" fontId="199" fillId="16" borderId="57" xfId="0" applyFont="1" applyFill="1" applyBorder="1" applyAlignment="1">
      <alignment vertical="center" shrinkToFit="1"/>
    </xf>
    <xf numFmtId="0" fontId="199" fillId="19" borderId="56" xfId="0" applyFont="1" applyFill="1" applyBorder="1" applyAlignment="1">
      <alignment vertical="center" shrinkToFit="1"/>
    </xf>
    <xf numFmtId="0" fontId="199" fillId="19" borderId="57" xfId="0" applyFont="1" applyFill="1" applyBorder="1" applyAlignment="1">
      <alignment vertical="center" shrinkToFit="1"/>
    </xf>
    <xf numFmtId="0" fontId="184" fillId="49" borderId="56" xfId="0" applyFont="1" applyFill="1" applyBorder="1" applyAlignment="1">
      <alignment vertical="center" shrinkToFit="1"/>
    </xf>
    <xf numFmtId="0" fontId="184" fillId="49" borderId="57" xfId="0" applyFont="1" applyFill="1" applyBorder="1" applyAlignment="1">
      <alignment vertical="center" shrinkToFit="1"/>
    </xf>
    <xf numFmtId="0" fontId="199" fillId="34" borderId="56" xfId="0" applyFont="1" applyFill="1" applyBorder="1" applyAlignment="1">
      <alignment vertical="center" shrinkToFit="1"/>
    </xf>
    <xf numFmtId="0" fontId="199" fillId="34" borderId="16" xfId="0" applyFont="1" applyFill="1" applyBorder="1" applyAlignment="1">
      <alignment vertical="center" shrinkToFit="1"/>
    </xf>
    <xf numFmtId="0" fontId="199" fillId="34" borderId="57" xfId="0" applyFont="1" applyFill="1" applyBorder="1" applyAlignment="1">
      <alignment vertical="center" shrinkToFit="1"/>
    </xf>
    <xf numFmtId="0" fontId="188" fillId="57" borderId="0" xfId="0" applyFont="1" applyFill="1" applyBorder="1" applyAlignment="1" applyProtection="1">
      <alignment horizontal="center" vertical="center" shrinkToFit="1"/>
      <protection locked="0"/>
    </xf>
    <xf numFmtId="0" fontId="199" fillId="0" borderId="0" xfId="0" applyFont="1" applyBorder="1" applyAlignment="1" applyProtection="1">
      <alignment horizontal="left" vertical="center" shrinkToFit="1"/>
      <protection locked="0"/>
    </xf>
    <xf numFmtId="0" fontId="0" fillId="47" borderId="0" xfId="0" applyFill="1" applyBorder="1" applyAlignment="1">
      <alignment/>
    </xf>
    <xf numFmtId="0" fontId="200" fillId="0" borderId="16" xfId="0" applyFont="1" applyFill="1" applyBorder="1" applyAlignment="1">
      <alignment horizontal="center" vertical="top" wrapText="1"/>
    </xf>
    <xf numFmtId="0" fontId="201" fillId="0" borderId="0" xfId="0" applyFont="1" applyAlignment="1">
      <alignment horizontal="center"/>
    </xf>
    <xf numFmtId="0" fontId="202" fillId="0" borderId="0" xfId="0" applyFont="1" applyAlignment="1">
      <alignment horizontal="center"/>
    </xf>
    <xf numFmtId="0" fontId="139" fillId="0" borderId="0" xfId="52" applyAlignment="1" applyProtection="1">
      <alignment horizontal="center"/>
      <protection/>
    </xf>
    <xf numFmtId="0" fontId="203" fillId="0" borderId="58" xfId="0" applyFont="1" applyBorder="1" applyAlignment="1">
      <alignment horizontal="center" vertical="top"/>
    </xf>
    <xf numFmtId="0" fontId="203" fillId="0" borderId="59" xfId="0" applyFont="1" applyBorder="1" applyAlignment="1">
      <alignment horizontal="justify" vertical="top"/>
    </xf>
    <xf numFmtId="0" fontId="204" fillId="0" borderId="58" xfId="0" applyFont="1" applyBorder="1" applyAlignment="1">
      <alignment horizontal="center" vertical="top"/>
    </xf>
    <xf numFmtId="0" fontId="205" fillId="0" borderId="59" xfId="0" applyFont="1" applyBorder="1" applyAlignment="1">
      <alignment horizontal="justify" vertical="top"/>
    </xf>
    <xf numFmtId="0" fontId="204" fillId="0" borderId="59" xfId="0" applyFont="1" applyBorder="1" applyAlignment="1">
      <alignment horizontal="justify" vertical="top"/>
    </xf>
    <xf numFmtId="0" fontId="0" fillId="58" borderId="0" xfId="0" applyFill="1" applyAlignment="1" applyProtection="1">
      <alignment/>
      <protection locked="0"/>
    </xf>
    <xf numFmtId="0" fontId="206" fillId="58" borderId="0" xfId="0" applyFont="1" applyFill="1" applyAlignment="1" applyProtection="1">
      <alignment horizontal="center"/>
      <protection locked="0"/>
    </xf>
    <xf numFmtId="0" fontId="0" fillId="58" borderId="0" xfId="0" applyFill="1" applyAlignment="1" applyProtection="1">
      <alignment/>
      <protection locked="0"/>
    </xf>
    <xf numFmtId="0" fontId="196" fillId="45" borderId="11" xfId="0" applyFont="1" applyFill="1" applyBorder="1" applyAlignment="1">
      <alignment/>
    </xf>
    <xf numFmtId="0" fontId="196" fillId="45" borderId="11" xfId="0" applyFont="1" applyFill="1" applyBorder="1" applyAlignment="1">
      <alignment horizontal="center" vertical="center"/>
    </xf>
    <xf numFmtId="0" fontId="204" fillId="45" borderId="58" xfId="0" applyFont="1" applyFill="1" applyBorder="1" applyAlignment="1">
      <alignment horizontal="center" vertical="top"/>
    </xf>
    <xf numFmtId="0" fontId="204" fillId="45" borderId="59" xfId="0" applyFont="1" applyFill="1" applyBorder="1" applyAlignment="1">
      <alignment horizontal="justify" vertical="top"/>
    </xf>
    <xf numFmtId="0" fontId="203" fillId="7" borderId="58" xfId="0" applyFont="1" applyFill="1" applyBorder="1" applyAlignment="1">
      <alignment horizontal="center" vertical="top"/>
    </xf>
    <xf numFmtId="0" fontId="207" fillId="7" borderId="59" xfId="0" applyFont="1" applyFill="1" applyBorder="1" applyAlignment="1">
      <alignment horizontal="justify" vertical="top"/>
    </xf>
    <xf numFmtId="0" fontId="203" fillId="7" borderId="59" xfId="0" applyFont="1" applyFill="1" applyBorder="1" applyAlignment="1">
      <alignment horizontal="justify" vertical="top"/>
    </xf>
    <xf numFmtId="0" fontId="204" fillId="45" borderId="60" xfId="0" applyFont="1" applyFill="1" applyBorder="1" applyAlignment="1">
      <alignment horizontal="center" vertical="top"/>
    </xf>
    <xf numFmtId="0" fontId="205" fillId="45" borderId="61" xfId="0" applyFont="1" applyFill="1" applyBorder="1" applyAlignment="1">
      <alignment horizontal="justify" vertical="top"/>
    </xf>
    <xf numFmtId="0" fontId="170" fillId="11" borderId="16" xfId="0" applyFont="1" applyFill="1" applyBorder="1" applyAlignment="1" applyProtection="1">
      <alignment horizontal="center" vertical="center" shrinkToFit="1"/>
      <protection locked="0"/>
    </xf>
    <xf numFmtId="0" fontId="170" fillId="17" borderId="16" xfId="0" applyFont="1" applyFill="1" applyBorder="1" applyAlignment="1" applyProtection="1">
      <alignment horizontal="center" vertical="center" shrinkToFit="1"/>
      <protection locked="0"/>
    </xf>
    <xf numFmtId="0" fontId="182" fillId="53" borderId="16" xfId="0" applyFont="1" applyFill="1" applyBorder="1" applyAlignment="1" applyProtection="1">
      <alignment horizontal="center" vertical="center" shrinkToFit="1"/>
      <protection locked="0"/>
    </xf>
    <xf numFmtId="0" fontId="182" fillId="53" borderId="17" xfId="0" applyFont="1" applyFill="1" applyBorder="1" applyAlignment="1" applyProtection="1">
      <alignment horizontal="center" vertical="center" shrinkToFit="1"/>
      <protection locked="0"/>
    </xf>
    <xf numFmtId="0" fontId="159" fillId="35" borderId="16" xfId="0" applyFont="1" applyFill="1" applyBorder="1" applyAlignment="1" applyProtection="1">
      <alignment horizontal="center" vertical="center" shrinkToFit="1"/>
      <protection locked="0"/>
    </xf>
    <xf numFmtId="0" fontId="159" fillId="35" borderId="17" xfId="0" applyFont="1" applyFill="1" applyBorder="1" applyAlignment="1" applyProtection="1">
      <alignment horizontal="center" vertical="center" shrinkToFit="1"/>
      <protection locked="0"/>
    </xf>
    <xf numFmtId="0" fontId="170" fillId="7" borderId="16" xfId="0" applyFont="1" applyFill="1" applyBorder="1" applyAlignment="1" applyProtection="1">
      <alignment horizontal="center" vertical="center" shrinkToFit="1"/>
      <protection locked="0"/>
    </xf>
    <xf numFmtId="0" fontId="170" fillId="7" borderId="17" xfId="0" applyFont="1" applyFill="1" applyBorder="1" applyAlignment="1" applyProtection="1">
      <alignment horizontal="center" vertical="center" shrinkToFit="1"/>
      <protection locked="0"/>
    </xf>
    <xf numFmtId="0" fontId="170" fillId="13" borderId="16" xfId="0" applyFont="1" applyFill="1" applyBorder="1" applyAlignment="1" applyProtection="1">
      <alignment horizontal="center" vertical="center" shrinkToFit="1"/>
      <protection locked="0"/>
    </xf>
    <xf numFmtId="0" fontId="170" fillId="6" borderId="16" xfId="0" applyFont="1" applyFill="1" applyBorder="1" applyAlignment="1" applyProtection="1">
      <alignment horizontal="center" vertical="center" shrinkToFit="1"/>
      <protection locked="0"/>
    </xf>
    <xf numFmtId="0" fontId="170" fillId="4" borderId="16" xfId="0" applyFont="1" applyFill="1" applyBorder="1" applyAlignment="1" applyProtection="1">
      <alignment horizontal="center" vertical="center" shrinkToFit="1"/>
      <protection locked="0"/>
    </xf>
    <xf numFmtId="0" fontId="170" fillId="4" borderId="17" xfId="0" applyFont="1" applyFill="1" applyBorder="1" applyAlignment="1" applyProtection="1">
      <alignment horizontal="center" vertical="center" shrinkToFit="1"/>
      <protection locked="0"/>
    </xf>
    <xf numFmtId="0" fontId="170" fillId="10" borderId="16" xfId="0" applyFont="1" applyFill="1" applyBorder="1" applyAlignment="1" applyProtection="1">
      <alignment horizontal="center" vertical="center" shrinkToFit="1"/>
      <protection locked="0"/>
    </xf>
    <xf numFmtId="0" fontId="170" fillId="10" borderId="17" xfId="0" applyFont="1" applyFill="1" applyBorder="1" applyAlignment="1" applyProtection="1">
      <alignment horizontal="center" vertical="center" shrinkToFit="1"/>
      <protection locked="0"/>
    </xf>
    <xf numFmtId="0" fontId="0" fillId="11" borderId="17" xfId="0" applyFill="1" applyBorder="1" applyAlignment="1">
      <alignment horizontal="center" vertical="top" wrapText="1"/>
    </xf>
    <xf numFmtId="0" fontId="208" fillId="59" borderId="0" xfId="0" applyFont="1" applyFill="1" applyBorder="1" applyAlignment="1">
      <alignment vertical="top" wrapText="1"/>
    </xf>
    <xf numFmtId="0" fontId="0" fillId="11" borderId="17" xfId="0" applyFill="1" applyBorder="1" applyAlignment="1">
      <alignment horizontal="center" vertical="top" wrapText="1"/>
    </xf>
    <xf numFmtId="0" fontId="170" fillId="17" borderId="17" xfId="0" applyFont="1" applyFill="1" applyBorder="1" applyAlignment="1" applyProtection="1">
      <alignment horizontal="center" vertical="center" shrinkToFit="1"/>
      <protection locked="0"/>
    </xf>
    <xf numFmtId="0" fontId="170" fillId="4" borderId="17" xfId="0" applyFont="1" applyFill="1" applyBorder="1" applyAlignment="1" applyProtection="1">
      <alignment horizontal="center" vertical="center" shrinkToFit="1"/>
      <protection locked="0"/>
    </xf>
    <xf numFmtId="0" fontId="170" fillId="10" borderId="17" xfId="0" applyFont="1" applyFill="1" applyBorder="1" applyAlignment="1" applyProtection="1">
      <alignment horizontal="center" vertical="center" shrinkToFit="1"/>
      <protection locked="0"/>
    </xf>
    <xf numFmtId="0" fontId="170" fillId="7" borderId="17" xfId="0" applyFont="1" applyFill="1" applyBorder="1" applyAlignment="1" applyProtection="1">
      <alignment horizontal="center" vertical="center" shrinkToFit="1"/>
      <protection locked="0"/>
    </xf>
    <xf numFmtId="0" fontId="170" fillId="6" borderId="17" xfId="0" applyFont="1" applyFill="1" applyBorder="1" applyAlignment="1" applyProtection="1">
      <alignment horizontal="center" vertical="center" shrinkToFit="1"/>
      <protection locked="0"/>
    </xf>
    <xf numFmtId="0" fontId="170" fillId="13" borderId="17" xfId="0" applyFont="1" applyFill="1" applyBorder="1" applyAlignment="1" applyProtection="1">
      <alignment horizontal="center" vertical="center" shrinkToFit="1"/>
      <protection locked="0"/>
    </xf>
    <xf numFmtId="0" fontId="159" fillId="35" borderId="17" xfId="0" applyFont="1" applyFill="1" applyBorder="1" applyAlignment="1" applyProtection="1">
      <alignment horizontal="center" vertical="center" shrinkToFit="1"/>
      <protection locked="0"/>
    </xf>
    <xf numFmtId="0" fontId="182" fillId="53" borderId="17" xfId="0" applyFont="1" applyFill="1" applyBorder="1" applyAlignment="1" applyProtection="1">
      <alignment horizontal="center" vertical="center" shrinkToFit="1"/>
      <protection locked="0"/>
    </xf>
    <xf numFmtId="0" fontId="194" fillId="33" borderId="17" xfId="0" applyFont="1" applyFill="1" applyBorder="1" applyAlignment="1">
      <alignment horizontal="center" vertical="top" wrapText="1"/>
    </xf>
    <xf numFmtId="0" fontId="170" fillId="11" borderId="17" xfId="0" applyFont="1" applyFill="1" applyBorder="1" applyAlignment="1" applyProtection="1">
      <alignment horizontal="center" vertical="center" shrinkToFit="1"/>
      <protection locked="0"/>
    </xf>
    <xf numFmtId="2" fontId="158" fillId="5" borderId="32" xfId="0" applyNumberFormat="1" applyFont="1" applyFill="1" applyBorder="1" applyAlignment="1">
      <alignment horizontal="center" vertical="center" shrinkToFit="1"/>
    </xf>
    <xf numFmtId="2" fontId="158" fillId="5" borderId="25" xfId="0" applyNumberFormat="1" applyFont="1" applyFill="1" applyBorder="1" applyAlignment="1">
      <alignment horizontal="center" vertical="center" shrinkToFit="1"/>
    </xf>
    <xf numFmtId="2" fontId="158" fillId="11" borderId="25" xfId="0" applyNumberFormat="1" applyFont="1" applyFill="1" applyBorder="1" applyAlignment="1">
      <alignment horizontal="center" vertical="center" shrinkToFit="1"/>
    </xf>
    <xf numFmtId="2" fontId="158" fillId="17" borderId="25" xfId="0" applyNumberFormat="1" applyFont="1" applyFill="1" applyBorder="1" applyAlignment="1">
      <alignment horizontal="center" vertical="center" shrinkToFit="1"/>
    </xf>
    <xf numFmtId="2" fontId="177" fillId="33" borderId="25" xfId="0" applyNumberFormat="1" applyFont="1" applyFill="1" applyBorder="1" applyAlignment="1">
      <alignment horizontal="center" vertical="center" shrinkToFit="1"/>
    </xf>
    <xf numFmtId="2" fontId="177" fillId="36" borderId="25" xfId="0" applyNumberFormat="1" applyFont="1" applyFill="1" applyBorder="1" applyAlignment="1">
      <alignment horizontal="center" vertical="center" shrinkToFit="1"/>
    </xf>
    <xf numFmtId="2" fontId="158" fillId="6" borderId="25" xfId="0" applyNumberFormat="1" applyFont="1" applyFill="1" applyBorder="1" applyAlignment="1">
      <alignment horizontal="center" vertical="center" shrinkToFit="1"/>
    </xf>
    <xf numFmtId="2" fontId="158" fillId="12" borderId="25" xfId="0" applyNumberFormat="1" applyFont="1" applyFill="1" applyBorder="1" applyAlignment="1">
      <alignment horizontal="center" vertical="center" shrinkToFit="1"/>
    </xf>
    <xf numFmtId="2" fontId="158" fillId="4" borderId="25" xfId="0" applyNumberFormat="1" applyFont="1" applyFill="1" applyBorder="1" applyAlignment="1">
      <alignment horizontal="center" vertical="center" shrinkToFit="1"/>
    </xf>
    <xf numFmtId="2" fontId="158" fillId="10" borderId="25" xfId="0" applyNumberFormat="1" applyFont="1" applyFill="1" applyBorder="1" applyAlignment="1">
      <alignment horizontal="center" vertical="center" shrinkToFit="1"/>
    </xf>
    <xf numFmtId="2" fontId="158" fillId="7" borderId="25" xfId="0" applyNumberFormat="1" applyFont="1" applyFill="1" applyBorder="1" applyAlignment="1">
      <alignment horizontal="center" vertical="center" shrinkToFit="1"/>
    </xf>
    <xf numFmtId="2" fontId="158" fillId="13" borderId="25" xfId="0" applyNumberFormat="1" applyFont="1" applyFill="1" applyBorder="1" applyAlignment="1">
      <alignment horizontal="center" vertical="center" shrinkToFit="1"/>
    </xf>
    <xf numFmtId="2" fontId="177" fillId="53" borderId="25" xfId="0" applyNumberFormat="1" applyFont="1" applyFill="1" applyBorder="1" applyAlignment="1">
      <alignment horizontal="center" vertical="center" shrinkToFit="1"/>
    </xf>
    <xf numFmtId="2" fontId="177" fillId="49" borderId="25" xfId="0" applyNumberFormat="1" applyFont="1" applyFill="1" applyBorder="1" applyAlignment="1">
      <alignment horizontal="center" vertical="center" shrinkToFit="1"/>
    </xf>
    <xf numFmtId="2" fontId="158" fillId="37" borderId="25" xfId="0" applyNumberFormat="1" applyFont="1" applyFill="1" applyBorder="1" applyAlignment="1">
      <alignment horizontal="center" vertical="center" shrinkToFit="1"/>
    </xf>
    <xf numFmtId="2" fontId="158" fillId="34" borderId="25" xfId="0" applyNumberFormat="1" applyFont="1" applyFill="1" applyBorder="1" applyAlignment="1">
      <alignment horizontal="center" vertical="center" shrinkToFit="1"/>
    </xf>
    <xf numFmtId="2" fontId="178" fillId="35" borderId="25" xfId="0" applyNumberFormat="1" applyFont="1" applyFill="1" applyBorder="1" applyAlignment="1">
      <alignment horizontal="center" vertical="center" shrinkToFit="1"/>
    </xf>
    <xf numFmtId="2" fontId="178" fillId="39" borderId="25" xfId="0" applyNumberFormat="1" applyFont="1" applyFill="1" applyBorder="1" applyAlignment="1">
      <alignment horizontal="center" vertical="center" shrinkToFit="1"/>
    </xf>
    <xf numFmtId="0" fontId="158" fillId="0" borderId="10" xfId="0" applyFont="1" applyBorder="1" applyAlignment="1">
      <alignment horizontal="center" vertical="center" shrinkToFit="1"/>
    </xf>
    <xf numFmtId="2" fontId="0" fillId="0" borderId="10" xfId="0" applyNumberFormat="1" applyBorder="1" applyAlignment="1">
      <alignment horizontal="center" vertical="center" shrinkToFit="1"/>
    </xf>
    <xf numFmtId="0" fontId="158" fillId="0" borderId="0" xfId="0" applyFont="1" applyAlignment="1">
      <alignment horizontal="center" vertical="center" shrinkToFit="1"/>
    </xf>
    <xf numFmtId="0" fontId="209" fillId="0" borderId="0" xfId="0" applyFont="1" applyFill="1" applyBorder="1" applyAlignment="1">
      <alignment vertical="center"/>
    </xf>
    <xf numFmtId="0" fontId="210" fillId="0" borderId="0" xfId="0" applyFont="1" applyFill="1" applyBorder="1" applyAlignment="1">
      <alignment vertical="center"/>
    </xf>
    <xf numFmtId="0" fontId="211" fillId="0" borderId="0" xfId="0" applyFont="1" applyFill="1" applyBorder="1" applyAlignment="1">
      <alignment vertical="center"/>
    </xf>
    <xf numFmtId="0" fontId="188" fillId="57" borderId="62" xfId="0" applyFont="1" applyFill="1" applyBorder="1" applyAlignment="1" applyProtection="1">
      <alignment horizontal="center" vertical="center" shrinkToFit="1"/>
      <protection locked="0"/>
    </xf>
    <xf numFmtId="2" fontId="190" fillId="0" borderId="23" xfId="0" applyNumberFormat="1" applyFont="1" applyFill="1" applyBorder="1" applyAlignment="1">
      <alignment vertical="center"/>
    </xf>
    <xf numFmtId="0" fontId="153" fillId="33" borderId="12" xfId="0" applyFont="1" applyFill="1" applyBorder="1" applyAlignment="1">
      <alignment horizontal="center" vertical="center"/>
    </xf>
    <xf numFmtId="0" fontId="153" fillId="33" borderId="11" xfId="0" applyFont="1" applyFill="1" applyBorder="1" applyAlignment="1">
      <alignment horizontal="center" vertical="center"/>
    </xf>
    <xf numFmtId="167" fontId="190" fillId="33" borderId="24" xfId="0" applyNumberFormat="1" applyFont="1" applyFill="1" applyBorder="1" applyAlignment="1" applyProtection="1">
      <alignment horizontal="center" vertical="center"/>
      <protection locked="0"/>
    </xf>
    <xf numFmtId="2" fontId="164" fillId="33" borderId="23" xfId="0" applyNumberFormat="1" applyFont="1" applyFill="1" applyBorder="1" applyAlignment="1">
      <alignment horizontal="center" vertical="center"/>
    </xf>
    <xf numFmtId="0" fontId="152" fillId="17" borderId="49" xfId="0" applyFont="1" applyFill="1" applyBorder="1" applyAlignment="1">
      <alignment horizontal="center" vertical="center"/>
    </xf>
    <xf numFmtId="0" fontId="0" fillId="17" borderId="49" xfId="0" applyFill="1" applyBorder="1" applyAlignment="1" applyProtection="1">
      <alignment horizontal="center" vertical="center" wrapText="1"/>
      <protection locked="0"/>
    </xf>
    <xf numFmtId="0" fontId="0" fillId="17" borderId="6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156" fillId="4" borderId="11" xfId="0" applyFont="1" applyFill="1" applyBorder="1" applyAlignment="1">
      <alignment horizontal="center" vertical="center"/>
    </xf>
    <xf numFmtId="16" fontId="0" fillId="4" borderId="11" xfId="0" applyNumberFormat="1" applyFill="1" applyBorder="1" applyAlignment="1" applyProtection="1">
      <alignment horizontal="center" vertical="center" wrapText="1"/>
      <protection locked="0"/>
    </xf>
    <xf numFmtId="167" fontId="190" fillId="4" borderId="24" xfId="0" applyNumberFormat="1" applyFont="1" applyFill="1" applyBorder="1" applyAlignment="1" applyProtection="1">
      <alignment horizontal="center" vertical="center"/>
      <protection locked="0"/>
    </xf>
    <xf numFmtId="2" fontId="164" fillId="4" borderId="23" xfId="0" applyNumberFormat="1" applyFont="1" applyFill="1" applyBorder="1" applyAlignment="1">
      <alignment horizontal="center" vertical="center"/>
    </xf>
    <xf numFmtId="0" fontId="155" fillId="12" borderId="49" xfId="0" applyFont="1" applyFill="1" applyBorder="1" applyAlignment="1">
      <alignment horizontal="center" vertical="center"/>
    </xf>
    <xf numFmtId="0" fontId="0" fillId="12" borderId="49" xfId="0" applyFill="1" applyBorder="1" applyAlignment="1" applyProtection="1">
      <alignment horizontal="center" vertical="center" wrapText="1"/>
      <protection locked="0"/>
    </xf>
    <xf numFmtId="0" fontId="0" fillId="12" borderId="63" xfId="0" applyFill="1" applyBorder="1" applyAlignment="1" applyProtection="1">
      <alignment horizontal="center" vertical="center" wrapText="1"/>
      <protection locked="0"/>
    </xf>
    <xf numFmtId="0" fontId="155" fillId="37" borderId="11" xfId="0" applyFont="1" applyFill="1" applyBorder="1" applyAlignment="1">
      <alignment horizontal="center" vertical="center"/>
    </xf>
    <xf numFmtId="167" fontId="190" fillId="37" borderId="24" xfId="0" applyNumberFormat="1" applyFont="1" applyFill="1" applyBorder="1" applyAlignment="1" applyProtection="1">
      <alignment horizontal="center" vertical="center"/>
      <protection locked="0"/>
    </xf>
    <xf numFmtId="2" fontId="164" fillId="37" borderId="23" xfId="0" applyNumberFormat="1" applyFont="1" applyFill="1" applyBorder="1" applyAlignment="1">
      <alignment horizontal="center" vertical="center"/>
    </xf>
    <xf numFmtId="0" fontId="155" fillId="38" borderId="49" xfId="0" applyFont="1" applyFill="1" applyBorder="1" applyAlignment="1">
      <alignment horizontal="center" vertical="center"/>
    </xf>
    <xf numFmtId="0" fontId="0" fillId="38" borderId="64" xfId="0" applyFill="1" applyBorder="1" applyAlignment="1" applyProtection="1">
      <alignment horizontal="center" vertical="center" wrapText="1"/>
      <protection locked="0"/>
    </xf>
    <xf numFmtId="0" fontId="4" fillId="38" borderId="64" xfId="0" applyFont="1" applyFill="1" applyBorder="1" applyAlignment="1" applyProtection="1">
      <alignment horizontal="center" vertical="center" wrapText="1"/>
      <protection locked="0"/>
    </xf>
    <xf numFmtId="0" fontId="4" fillId="38" borderId="63" xfId="0" applyFont="1" applyFill="1" applyBorder="1" applyAlignment="1" applyProtection="1">
      <alignment horizontal="center" vertical="center" wrapText="1"/>
      <protection locked="0"/>
    </xf>
    <xf numFmtId="0" fontId="0" fillId="38" borderId="63" xfId="0" applyFill="1" applyBorder="1" applyAlignment="1" applyProtection="1">
      <alignment horizontal="center" vertical="center" wrapText="1"/>
      <protection locked="0"/>
    </xf>
    <xf numFmtId="0" fontId="0" fillId="38" borderId="65" xfId="0" applyFill="1" applyBorder="1" applyAlignment="1" applyProtection="1">
      <alignment horizontal="center" vertical="center" wrapText="1"/>
      <protection locked="0"/>
    </xf>
    <xf numFmtId="167" fontId="191" fillId="49" borderId="15" xfId="0" applyNumberFormat="1" applyFont="1" applyFill="1" applyBorder="1" applyAlignment="1" applyProtection="1">
      <alignment horizontal="center" vertical="center"/>
      <protection locked="0"/>
    </xf>
    <xf numFmtId="2" fontId="162" fillId="49" borderId="14" xfId="0" applyNumberFormat="1" applyFont="1" applyFill="1" applyBorder="1" applyAlignment="1">
      <alignment horizontal="center" vertical="center"/>
    </xf>
    <xf numFmtId="0" fontId="151" fillId="5" borderId="13" xfId="0" applyFont="1" applyFill="1" applyBorder="1" applyAlignment="1">
      <alignment horizontal="center" vertical="center"/>
    </xf>
    <xf numFmtId="0" fontId="152" fillId="11" borderId="13" xfId="0" applyFont="1" applyFill="1" applyBorder="1" applyAlignment="1">
      <alignment horizontal="center" vertical="center"/>
    </xf>
    <xf numFmtId="0" fontId="156" fillId="11" borderId="13" xfId="0" applyFont="1" applyFill="1" applyBorder="1" applyAlignment="1">
      <alignment horizontal="center" vertical="center"/>
    </xf>
    <xf numFmtId="0" fontId="155" fillId="17" borderId="13" xfId="0" applyFont="1" applyFill="1" applyBorder="1" applyAlignment="1">
      <alignment horizontal="center" vertical="center"/>
    </xf>
    <xf numFmtId="0" fontId="152" fillId="17" borderId="13" xfId="0" applyFont="1" applyFill="1" applyBorder="1" applyAlignment="1">
      <alignment horizontal="center" vertical="center"/>
    </xf>
    <xf numFmtId="0" fontId="152" fillId="17" borderId="66" xfId="0" applyFont="1" applyFill="1" applyBorder="1" applyAlignment="1">
      <alignment horizontal="center" vertical="center"/>
    </xf>
    <xf numFmtId="0" fontId="155" fillId="6" borderId="13" xfId="0" applyFont="1" applyFill="1" applyBorder="1" applyAlignment="1">
      <alignment horizontal="center" vertical="center"/>
    </xf>
    <xf numFmtId="0" fontId="149" fillId="12" borderId="13" xfId="0" applyFont="1" applyFill="1" applyBorder="1" applyAlignment="1">
      <alignment horizontal="center" vertical="center"/>
    </xf>
    <xf numFmtId="0" fontId="155" fillId="12" borderId="66" xfId="0" applyFont="1" applyFill="1" applyBorder="1" applyAlignment="1">
      <alignment horizontal="center" vertical="center"/>
    </xf>
    <xf numFmtId="0" fontId="156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51" fillId="4" borderId="13" xfId="0" applyFont="1" applyFill="1" applyBorder="1" applyAlignment="1">
      <alignment horizontal="center" vertical="center"/>
    </xf>
    <xf numFmtId="0" fontId="149" fillId="4" borderId="13" xfId="0" applyFont="1" applyFill="1" applyBorder="1" applyAlignment="1">
      <alignment horizontal="center" vertical="center"/>
    </xf>
    <xf numFmtId="0" fontId="156" fillId="4" borderId="13" xfId="0" applyFont="1" applyFill="1" applyBorder="1" applyAlignment="1">
      <alignment horizontal="center" vertical="center"/>
    </xf>
    <xf numFmtId="0" fontId="155" fillId="4" borderId="13" xfId="0" applyFont="1" applyFill="1" applyBorder="1" applyAlignment="1">
      <alignment horizontal="center" vertical="center"/>
    </xf>
    <xf numFmtId="0" fontId="149" fillId="10" borderId="13" xfId="0" applyFont="1" applyFill="1" applyBorder="1" applyAlignment="1">
      <alignment horizontal="center" vertical="center"/>
    </xf>
    <xf numFmtId="0" fontId="156" fillId="10" borderId="13" xfId="0" applyFont="1" applyFill="1" applyBorder="1" applyAlignment="1">
      <alignment horizontal="center" vertical="center"/>
    </xf>
    <xf numFmtId="0" fontId="156" fillId="7" borderId="13" xfId="0" applyFont="1" applyFill="1" applyBorder="1" applyAlignment="1">
      <alignment horizontal="center" vertical="center"/>
    </xf>
    <xf numFmtId="0" fontId="149" fillId="7" borderId="13" xfId="0" applyFont="1" applyFill="1" applyBorder="1" applyAlignment="1">
      <alignment horizontal="center" vertical="center"/>
    </xf>
    <xf numFmtId="0" fontId="151" fillId="7" borderId="13" xfId="0" applyFont="1" applyFill="1" applyBorder="1" applyAlignment="1">
      <alignment horizontal="center" vertical="center"/>
    </xf>
    <xf numFmtId="0" fontId="155" fillId="7" borderId="13" xfId="0" applyFont="1" applyFill="1" applyBorder="1" applyAlignment="1">
      <alignment horizontal="center" vertical="center"/>
    </xf>
    <xf numFmtId="0" fontId="149" fillId="13" borderId="13" xfId="0" applyFont="1" applyFill="1" applyBorder="1" applyAlignment="1">
      <alignment horizontal="center" vertical="center"/>
    </xf>
    <xf numFmtId="0" fontId="156" fillId="13" borderId="13" xfId="0" applyFont="1" applyFill="1" applyBorder="1" applyAlignment="1">
      <alignment horizontal="center" vertical="center"/>
    </xf>
    <xf numFmtId="0" fontId="155" fillId="13" borderId="13" xfId="0" applyFont="1" applyFill="1" applyBorder="1" applyAlignment="1">
      <alignment horizontal="center" vertical="center"/>
    </xf>
    <xf numFmtId="0" fontId="149" fillId="19" borderId="13" xfId="0" applyFont="1" applyFill="1" applyBorder="1" applyAlignment="1">
      <alignment horizontal="center" vertical="center"/>
    </xf>
    <xf numFmtId="0" fontId="155" fillId="19" borderId="13" xfId="0" applyFont="1" applyFill="1" applyBorder="1" applyAlignment="1">
      <alignment horizontal="center" vertical="center"/>
    </xf>
    <xf numFmtId="0" fontId="155" fillId="38" borderId="66" xfId="0" applyFont="1" applyFill="1" applyBorder="1" applyAlignment="1">
      <alignment horizontal="center" vertical="center"/>
    </xf>
    <xf numFmtId="0" fontId="155" fillId="37" borderId="12" xfId="0" applyFont="1" applyFill="1" applyBorder="1" applyAlignment="1">
      <alignment horizontal="center" vertical="center"/>
    </xf>
    <xf numFmtId="0" fontId="155" fillId="37" borderId="13" xfId="0" applyFont="1" applyFill="1" applyBorder="1" applyAlignment="1">
      <alignment horizontal="center" vertical="center"/>
    </xf>
    <xf numFmtId="0" fontId="155" fillId="34" borderId="13" xfId="0" applyFont="1" applyFill="1" applyBorder="1" applyAlignment="1">
      <alignment horizontal="center" vertical="center"/>
    </xf>
    <xf numFmtId="0" fontId="156" fillId="34" borderId="13" xfId="0" applyFont="1" applyFill="1" applyBorder="1" applyAlignment="1">
      <alignment horizontal="center" vertical="center"/>
    </xf>
    <xf numFmtId="0" fontId="149" fillId="34" borderId="13" xfId="0" applyFont="1" applyFill="1" applyBorder="1" applyAlignment="1">
      <alignment horizontal="center" vertical="center"/>
    </xf>
    <xf numFmtId="0" fontId="157" fillId="35" borderId="13" xfId="0" applyFont="1" applyFill="1" applyBorder="1" applyAlignment="1">
      <alignment horizontal="center" vertical="center"/>
    </xf>
    <xf numFmtId="0" fontId="150" fillId="35" borderId="13" xfId="0" applyFont="1" applyFill="1" applyBorder="1" applyAlignment="1">
      <alignment horizontal="center" vertical="center"/>
    </xf>
    <xf numFmtId="0" fontId="157" fillId="39" borderId="13" xfId="0" applyFont="1" applyFill="1" applyBorder="1" applyAlignment="1">
      <alignment horizontal="center" vertical="center"/>
    </xf>
    <xf numFmtId="0" fontId="176" fillId="5" borderId="17" xfId="0" applyFont="1" applyFill="1" applyBorder="1" applyAlignment="1" applyProtection="1">
      <alignment horizontal="left" vertical="top" wrapText="1"/>
      <protection/>
    </xf>
    <xf numFmtId="165" fontId="165" fillId="5" borderId="17" xfId="0" applyNumberFormat="1" applyFont="1" applyFill="1" applyBorder="1" applyAlignment="1" applyProtection="1">
      <alignment horizontal="center" vertical="center" wrapText="1"/>
      <protection/>
    </xf>
    <xf numFmtId="0" fontId="161" fillId="5" borderId="17" xfId="0" applyFont="1" applyFill="1" applyBorder="1" applyAlignment="1" applyProtection="1">
      <alignment horizontal="center" vertical="center" wrapText="1"/>
      <protection/>
    </xf>
    <xf numFmtId="2" fontId="158" fillId="5" borderId="17" xfId="0" applyNumberFormat="1" applyFont="1" applyFill="1" applyBorder="1" applyAlignment="1">
      <alignment horizontal="center" vertical="center"/>
    </xf>
    <xf numFmtId="2" fontId="164" fillId="5" borderId="17" xfId="0" applyNumberFormat="1" applyFont="1" applyFill="1" applyBorder="1" applyAlignment="1">
      <alignment horizontal="center" vertical="center"/>
    </xf>
    <xf numFmtId="164" fontId="165" fillId="5" borderId="17" xfId="0" applyNumberFormat="1" applyFont="1" applyFill="1" applyBorder="1" applyAlignment="1" applyProtection="1">
      <alignment horizontal="center" vertical="center" wrapText="1"/>
      <protection/>
    </xf>
    <xf numFmtId="0" fontId="176" fillId="11" borderId="17" xfId="0" applyFont="1" applyFill="1" applyBorder="1" applyAlignment="1" applyProtection="1">
      <alignment horizontal="left" vertical="top" wrapText="1"/>
      <protection/>
    </xf>
    <xf numFmtId="164" fontId="165" fillId="11" borderId="17" xfId="0" applyNumberFormat="1" applyFont="1" applyFill="1" applyBorder="1" applyAlignment="1" applyProtection="1">
      <alignment horizontal="center" vertical="center" wrapText="1"/>
      <protection/>
    </xf>
    <xf numFmtId="0" fontId="161" fillId="11" borderId="17" xfId="0" applyFont="1" applyFill="1" applyBorder="1" applyAlignment="1" applyProtection="1">
      <alignment horizontal="center" vertical="center" wrapText="1"/>
      <protection/>
    </xf>
    <xf numFmtId="2" fontId="164" fillId="11" borderId="17" xfId="0" applyNumberFormat="1" applyFont="1" applyFill="1" applyBorder="1" applyAlignment="1">
      <alignment horizontal="center" vertical="center"/>
    </xf>
    <xf numFmtId="0" fontId="154" fillId="11" borderId="17" xfId="0" applyFont="1" applyFill="1" applyBorder="1" applyAlignment="1" applyProtection="1">
      <alignment horizontal="center" vertical="center" wrapText="1"/>
      <protection/>
    </xf>
    <xf numFmtId="1" fontId="170" fillId="11" borderId="17" xfId="0" applyNumberFormat="1" applyFont="1" applyFill="1" applyBorder="1" applyAlignment="1" applyProtection="1">
      <alignment horizontal="center" vertical="center" shrinkToFit="1"/>
      <protection locked="0"/>
    </xf>
    <xf numFmtId="165" fontId="165" fillId="11" borderId="17" xfId="0" applyNumberFormat="1" applyFont="1" applyFill="1" applyBorder="1" applyAlignment="1" applyProtection="1">
      <alignment horizontal="center" vertical="center" wrapText="1"/>
      <protection/>
    </xf>
    <xf numFmtId="2" fontId="158" fillId="11" borderId="17" xfId="0" applyNumberFormat="1" applyFont="1" applyFill="1" applyBorder="1" applyAlignment="1">
      <alignment horizontal="center" vertical="center"/>
    </xf>
    <xf numFmtId="0" fontId="176" fillId="17" borderId="17" xfId="0" applyFont="1" applyFill="1" applyBorder="1" applyAlignment="1" applyProtection="1">
      <alignment horizontal="left" vertical="top" wrapText="1"/>
      <protection/>
    </xf>
    <xf numFmtId="0" fontId="154" fillId="17" borderId="17" xfId="0" applyFont="1" applyFill="1" applyBorder="1" applyAlignment="1" applyProtection="1">
      <alignment horizontal="center" vertical="center" wrapText="1"/>
      <protection/>
    </xf>
    <xf numFmtId="0" fontId="161" fillId="17" borderId="17" xfId="0" applyFont="1" applyFill="1" applyBorder="1" applyAlignment="1" applyProtection="1">
      <alignment horizontal="center" vertical="center" wrapText="1"/>
      <protection/>
    </xf>
    <xf numFmtId="2" fontId="158" fillId="17" borderId="17" xfId="0" applyNumberFormat="1" applyFont="1" applyFill="1" applyBorder="1" applyAlignment="1">
      <alignment horizontal="center" vertical="center"/>
    </xf>
    <xf numFmtId="2" fontId="164" fillId="17" borderId="17" xfId="0" applyNumberFormat="1" applyFont="1" applyFill="1" applyBorder="1" applyAlignment="1">
      <alignment horizontal="center" vertical="center"/>
    </xf>
    <xf numFmtId="165" fontId="165" fillId="17" borderId="17" xfId="0" applyNumberFormat="1" applyFont="1" applyFill="1" applyBorder="1" applyAlignment="1" applyProtection="1">
      <alignment horizontal="center" vertical="center" wrapText="1"/>
      <protection/>
    </xf>
    <xf numFmtId="0" fontId="181" fillId="33" borderId="17" xfId="0" applyFont="1" applyFill="1" applyBorder="1" applyAlignment="1" applyProtection="1">
      <alignment horizontal="left" vertical="top" wrapText="1"/>
      <protection/>
    </xf>
    <xf numFmtId="165" fontId="165" fillId="33" borderId="17" xfId="0" applyNumberFormat="1" applyFont="1" applyFill="1" applyBorder="1" applyAlignment="1" applyProtection="1">
      <alignment horizontal="center" vertical="center" wrapText="1"/>
      <protection/>
    </xf>
    <xf numFmtId="0" fontId="162" fillId="33" borderId="17" xfId="0" applyFont="1" applyFill="1" applyBorder="1" applyAlignment="1" applyProtection="1">
      <alignment horizontal="center" vertical="center" wrapText="1"/>
      <protection/>
    </xf>
    <xf numFmtId="2" fontId="177" fillId="33" borderId="17" xfId="0" applyNumberFormat="1" applyFont="1" applyFill="1" applyBorder="1" applyAlignment="1">
      <alignment horizontal="center" vertical="center"/>
    </xf>
    <xf numFmtId="2" fontId="164" fillId="33" borderId="17" xfId="0" applyNumberFormat="1" applyFont="1" applyFill="1" applyBorder="1" applyAlignment="1">
      <alignment horizontal="center" vertical="center"/>
    </xf>
    <xf numFmtId="164" fontId="165" fillId="33" borderId="17" xfId="0" applyNumberFormat="1" applyFont="1" applyFill="1" applyBorder="1" applyAlignment="1" applyProtection="1">
      <alignment horizontal="center" vertical="center" wrapText="1"/>
      <protection/>
    </xf>
    <xf numFmtId="0" fontId="181" fillId="36" borderId="17" xfId="0" applyFont="1" applyFill="1" applyBorder="1" applyAlignment="1" applyProtection="1">
      <alignment horizontal="left" vertical="top" wrapText="1"/>
      <protection/>
    </xf>
    <xf numFmtId="165" fontId="165" fillId="36" borderId="17" xfId="0" applyNumberFormat="1" applyFont="1" applyFill="1" applyBorder="1" applyAlignment="1" applyProtection="1">
      <alignment horizontal="center" vertical="center" wrapText="1"/>
      <protection/>
    </xf>
    <xf numFmtId="0" fontId="162" fillId="36" borderId="17" xfId="0" applyFont="1" applyFill="1" applyBorder="1" applyAlignment="1" applyProtection="1">
      <alignment horizontal="center" vertical="center" wrapText="1"/>
      <protection/>
    </xf>
    <xf numFmtId="2" fontId="177" fillId="36" borderId="17" xfId="0" applyNumberFormat="1" applyFont="1" applyFill="1" applyBorder="1" applyAlignment="1">
      <alignment horizontal="center" vertical="center"/>
    </xf>
    <xf numFmtId="2" fontId="164" fillId="36" borderId="17" xfId="0" applyNumberFormat="1" applyFont="1" applyFill="1" applyBorder="1" applyAlignment="1">
      <alignment horizontal="center" vertical="center"/>
    </xf>
    <xf numFmtId="0" fontId="176" fillId="6" borderId="17" xfId="0" applyFont="1" applyFill="1" applyBorder="1" applyAlignment="1" applyProtection="1">
      <alignment horizontal="left" vertical="top" wrapText="1"/>
      <protection/>
    </xf>
    <xf numFmtId="165" fontId="165" fillId="6" borderId="17" xfId="0" applyNumberFormat="1" applyFont="1" applyFill="1" applyBorder="1" applyAlignment="1" applyProtection="1">
      <alignment horizontal="center" vertical="center" wrapText="1"/>
      <protection/>
    </xf>
    <xf numFmtId="0" fontId="2" fillId="6" borderId="17" xfId="0" applyFont="1" applyFill="1" applyBorder="1" applyAlignment="1" applyProtection="1">
      <alignment horizontal="center" vertical="center" wrapText="1"/>
      <protection/>
    </xf>
    <xf numFmtId="2" fontId="158" fillId="6" borderId="17" xfId="0" applyNumberFormat="1" applyFont="1" applyFill="1" applyBorder="1" applyAlignment="1">
      <alignment horizontal="center" vertical="center"/>
    </xf>
    <xf numFmtId="2" fontId="164" fillId="6" borderId="17" xfId="0" applyNumberFormat="1" applyFont="1" applyFill="1" applyBorder="1" applyAlignment="1">
      <alignment horizontal="center" vertical="center"/>
    </xf>
    <xf numFmtId="0" fontId="154" fillId="6" borderId="17" xfId="0" applyFont="1" applyFill="1" applyBorder="1" applyAlignment="1" applyProtection="1">
      <alignment horizontal="center" vertical="center" wrapText="1"/>
      <protection/>
    </xf>
    <xf numFmtId="0" fontId="161" fillId="6" borderId="17" xfId="0" applyFont="1" applyFill="1" applyBorder="1" applyAlignment="1" applyProtection="1">
      <alignment horizontal="center" vertical="center" wrapText="1"/>
      <protection/>
    </xf>
    <xf numFmtId="0" fontId="176" fillId="12" borderId="17" xfId="0" applyFont="1" applyFill="1" applyBorder="1" applyAlignment="1" applyProtection="1">
      <alignment horizontal="left" vertical="top" wrapText="1"/>
      <protection/>
    </xf>
    <xf numFmtId="0" fontId="170" fillId="12" borderId="17" xfId="0" applyFont="1" applyFill="1" applyBorder="1" applyAlignment="1" applyProtection="1">
      <alignment horizontal="center" vertical="center" shrinkToFit="1"/>
      <protection locked="0"/>
    </xf>
    <xf numFmtId="165" fontId="165" fillId="12" borderId="17" xfId="0" applyNumberFormat="1" applyFont="1" applyFill="1" applyBorder="1" applyAlignment="1" applyProtection="1">
      <alignment horizontal="center" vertical="center" wrapText="1"/>
      <protection/>
    </xf>
    <xf numFmtId="0" fontId="2" fillId="12" borderId="17" xfId="0" applyFont="1" applyFill="1" applyBorder="1" applyAlignment="1" applyProtection="1">
      <alignment horizontal="center" vertical="center" wrapText="1"/>
      <protection/>
    </xf>
    <xf numFmtId="2" fontId="158" fillId="12" borderId="17" xfId="0" applyNumberFormat="1" applyFont="1" applyFill="1" applyBorder="1" applyAlignment="1">
      <alignment horizontal="center" vertical="center"/>
    </xf>
    <xf numFmtId="2" fontId="164" fillId="12" borderId="17" xfId="0" applyNumberFormat="1" applyFont="1" applyFill="1" applyBorder="1" applyAlignment="1">
      <alignment horizontal="center" vertical="center"/>
    </xf>
    <xf numFmtId="0" fontId="154" fillId="12" borderId="17" xfId="0" applyFont="1" applyFill="1" applyBorder="1" applyAlignment="1" applyProtection="1">
      <alignment horizontal="center" vertical="center" wrapText="1"/>
      <protection/>
    </xf>
    <xf numFmtId="0" fontId="161" fillId="12" borderId="17" xfId="0" applyFont="1" applyFill="1" applyBorder="1" applyAlignment="1" applyProtection="1">
      <alignment horizontal="center" vertical="center" wrapText="1"/>
      <protection/>
    </xf>
    <xf numFmtId="0" fontId="176" fillId="4" borderId="17" xfId="0" applyFont="1" applyFill="1" applyBorder="1" applyAlignment="1" applyProtection="1">
      <alignment horizontal="left" vertical="top" wrapText="1"/>
      <protection/>
    </xf>
    <xf numFmtId="0" fontId="154" fillId="4" borderId="17" xfId="0" applyFont="1" applyFill="1" applyBorder="1" applyAlignment="1" applyProtection="1">
      <alignment horizontal="center" vertical="center" wrapText="1"/>
      <protection/>
    </xf>
    <xf numFmtId="0" fontId="161" fillId="4" borderId="17" xfId="0" applyFont="1" applyFill="1" applyBorder="1" applyAlignment="1" applyProtection="1">
      <alignment horizontal="center" vertical="center" wrapText="1"/>
      <protection/>
    </xf>
    <xf numFmtId="2" fontId="158" fillId="4" borderId="17" xfId="0" applyNumberFormat="1" applyFont="1" applyFill="1" applyBorder="1" applyAlignment="1">
      <alignment horizontal="center" vertical="center"/>
    </xf>
    <xf numFmtId="2" fontId="164" fillId="4" borderId="17" xfId="0" applyNumberFormat="1" applyFont="1" applyFill="1" applyBorder="1" applyAlignment="1">
      <alignment horizontal="center" vertical="center"/>
    </xf>
    <xf numFmtId="164" fontId="165" fillId="4" borderId="17" xfId="0" applyNumberFormat="1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165" fontId="165" fillId="4" borderId="17" xfId="0" applyNumberFormat="1" applyFont="1" applyFill="1" applyBorder="1" applyAlignment="1" applyProtection="1">
      <alignment horizontal="center" vertical="center" wrapText="1"/>
      <protection/>
    </xf>
    <xf numFmtId="0" fontId="176" fillId="10" borderId="17" xfId="0" applyFont="1" applyFill="1" applyBorder="1" applyAlignment="1" applyProtection="1">
      <alignment horizontal="left" vertical="top" wrapText="1"/>
      <protection/>
    </xf>
    <xf numFmtId="165" fontId="165" fillId="10" borderId="17" xfId="0" applyNumberFormat="1" applyFont="1" applyFill="1" applyBorder="1" applyAlignment="1" applyProtection="1">
      <alignment horizontal="center" vertical="center" wrapText="1"/>
      <protection/>
    </xf>
    <xf numFmtId="0" fontId="161" fillId="10" borderId="17" xfId="0" applyFont="1" applyFill="1" applyBorder="1" applyAlignment="1" applyProtection="1">
      <alignment horizontal="center" vertical="center" wrapText="1"/>
      <protection/>
    </xf>
    <xf numFmtId="2" fontId="158" fillId="10" borderId="17" xfId="0" applyNumberFormat="1" applyFont="1" applyFill="1" applyBorder="1" applyAlignment="1">
      <alignment horizontal="center" vertical="center"/>
    </xf>
    <xf numFmtId="2" fontId="164" fillId="10" borderId="17" xfId="0" applyNumberFormat="1" applyFont="1" applyFill="1" applyBorder="1" applyAlignment="1">
      <alignment horizontal="center" vertical="center"/>
    </xf>
    <xf numFmtId="0" fontId="154" fillId="10" borderId="17" xfId="0" applyFont="1" applyFill="1" applyBorder="1" applyAlignment="1" applyProtection="1">
      <alignment horizontal="center" vertical="center" wrapText="1"/>
      <protection/>
    </xf>
    <xf numFmtId="0" fontId="176" fillId="7" borderId="17" xfId="0" applyFont="1" applyFill="1" applyBorder="1" applyAlignment="1" applyProtection="1">
      <alignment horizontal="left" vertical="top" wrapText="1"/>
      <protection/>
    </xf>
    <xf numFmtId="0" fontId="154" fillId="7" borderId="17" xfId="0" applyFont="1" applyFill="1" applyBorder="1" applyAlignment="1" applyProtection="1">
      <alignment horizontal="center" vertical="center" wrapText="1"/>
      <protection/>
    </xf>
    <xf numFmtId="0" fontId="161" fillId="7" borderId="17" xfId="0" applyFont="1" applyFill="1" applyBorder="1" applyAlignment="1" applyProtection="1">
      <alignment horizontal="center" vertical="center" wrapText="1"/>
      <protection/>
    </xf>
    <xf numFmtId="2" fontId="158" fillId="7" borderId="17" xfId="0" applyNumberFormat="1" applyFont="1" applyFill="1" applyBorder="1" applyAlignment="1">
      <alignment horizontal="center" vertical="center"/>
    </xf>
    <xf numFmtId="2" fontId="164" fillId="7" borderId="17" xfId="0" applyNumberFormat="1" applyFont="1" applyFill="1" applyBorder="1" applyAlignment="1">
      <alignment horizontal="center" vertical="center"/>
    </xf>
    <xf numFmtId="165" fontId="165" fillId="7" borderId="17" xfId="0" applyNumberFormat="1" applyFont="1" applyFill="1" applyBorder="1" applyAlignment="1" applyProtection="1">
      <alignment horizontal="center" vertical="center" wrapText="1"/>
      <protection/>
    </xf>
    <xf numFmtId="164" fontId="165" fillId="7" borderId="17" xfId="0" applyNumberFormat="1" applyFont="1" applyFill="1" applyBorder="1" applyAlignment="1" applyProtection="1">
      <alignment horizontal="center" vertical="center" wrapText="1"/>
      <protection/>
    </xf>
    <xf numFmtId="0" fontId="2" fillId="7" borderId="17" xfId="0" applyFont="1" applyFill="1" applyBorder="1" applyAlignment="1" applyProtection="1">
      <alignment horizontal="center" vertical="center" wrapText="1"/>
      <protection/>
    </xf>
    <xf numFmtId="0" fontId="176" fillId="13" borderId="17" xfId="0" applyFont="1" applyFill="1" applyBorder="1" applyAlignment="1" applyProtection="1">
      <alignment horizontal="left" vertical="top" wrapText="1"/>
      <protection/>
    </xf>
    <xf numFmtId="165" fontId="165" fillId="13" borderId="17" xfId="0" applyNumberFormat="1" applyFont="1" applyFill="1" applyBorder="1" applyAlignment="1" applyProtection="1">
      <alignment horizontal="center" vertical="center" wrapText="1"/>
      <protection/>
    </xf>
    <xf numFmtId="0" fontId="161" fillId="13" borderId="17" xfId="0" applyFont="1" applyFill="1" applyBorder="1" applyAlignment="1" applyProtection="1">
      <alignment horizontal="center" vertical="center" wrapText="1"/>
      <protection/>
    </xf>
    <xf numFmtId="2" fontId="158" fillId="13" borderId="17" xfId="0" applyNumberFormat="1" applyFont="1" applyFill="1" applyBorder="1" applyAlignment="1">
      <alignment horizontal="center" vertical="center"/>
    </xf>
    <xf numFmtId="2" fontId="164" fillId="13" borderId="17" xfId="0" applyNumberFormat="1" applyFont="1" applyFill="1" applyBorder="1" applyAlignment="1">
      <alignment horizontal="center" vertical="center"/>
    </xf>
    <xf numFmtId="0" fontId="154" fillId="13" borderId="17" xfId="0" applyFont="1" applyFill="1" applyBorder="1" applyAlignment="1" applyProtection="1">
      <alignment horizontal="center" vertical="center" wrapText="1"/>
      <protection/>
    </xf>
    <xf numFmtId="0" fontId="181" fillId="53" borderId="17" xfId="0" applyFont="1" applyFill="1" applyBorder="1" applyAlignment="1" applyProtection="1">
      <alignment horizontal="left" vertical="top" wrapText="1"/>
      <protection/>
    </xf>
    <xf numFmtId="165" fontId="184" fillId="53" borderId="17" xfId="0" applyNumberFormat="1" applyFont="1" applyFill="1" applyBorder="1" applyAlignment="1" applyProtection="1">
      <alignment horizontal="center" vertical="center" wrapText="1"/>
      <protection/>
    </xf>
    <xf numFmtId="0" fontId="162" fillId="53" borderId="17" xfId="0" applyFont="1" applyFill="1" applyBorder="1" applyAlignment="1" applyProtection="1">
      <alignment horizontal="center" vertical="center" wrapText="1"/>
      <protection/>
    </xf>
    <xf numFmtId="2" fontId="177" fillId="53" borderId="17" xfId="0" applyNumberFormat="1" applyFont="1" applyFill="1" applyBorder="1" applyAlignment="1">
      <alignment horizontal="center" vertical="center"/>
    </xf>
    <xf numFmtId="2" fontId="162" fillId="53" borderId="17" xfId="0" applyNumberFormat="1" applyFont="1" applyFill="1" applyBorder="1" applyAlignment="1">
      <alignment horizontal="center" vertical="center"/>
    </xf>
    <xf numFmtId="165" fontId="185" fillId="53" borderId="17" xfId="0" applyNumberFormat="1" applyFont="1" applyFill="1" applyBorder="1" applyAlignment="1" applyProtection="1">
      <alignment horizontal="center" vertical="center" wrapText="1"/>
      <protection/>
    </xf>
    <xf numFmtId="1" fontId="182" fillId="53" borderId="17" xfId="0" applyNumberFormat="1" applyFont="1" applyFill="1" applyBorder="1" applyAlignment="1" applyProtection="1">
      <alignment horizontal="center" vertical="center" shrinkToFit="1"/>
      <protection locked="0"/>
    </xf>
    <xf numFmtId="0" fontId="182" fillId="53" borderId="17" xfId="0" applyFont="1" applyFill="1" applyBorder="1" applyAlignment="1" applyProtection="1">
      <alignment horizontal="center" vertical="center" wrapText="1"/>
      <protection/>
    </xf>
    <xf numFmtId="0" fontId="181" fillId="49" borderId="17" xfId="0" applyFont="1" applyFill="1" applyBorder="1" applyAlignment="1" applyProtection="1">
      <alignment horizontal="left" vertical="top" wrapText="1"/>
      <protection/>
    </xf>
    <xf numFmtId="0" fontId="182" fillId="49" borderId="17" xfId="0" applyFont="1" applyFill="1" applyBorder="1" applyAlignment="1" applyProtection="1">
      <alignment horizontal="center" vertical="center" wrapText="1"/>
      <protection/>
    </xf>
    <xf numFmtId="0" fontId="162" fillId="49" borderId="17" xfId="0" applyFont="1" applyFill="1" applyBorder="1" applyAlignment="1" applyProtection="1">
      <alignment horizontal="center" vertical="center" wrapText="1"/>
      <protection/>
    </xf>
    <xf numFmtId="2" fontId="177" fillId="49" borderId="17" xfId="0" applyNumberFormat="1" applyFont="1" applyFill="1" applyBorder="1" applyAlignment="1">
      <alignment horizontal="center" vertical="center"/>
    </xf>
    <xf numFmtId="2" fontId="162" fillId="49" borderId="17" xfId="0" applyNumberFormat="1" applyFont="1" applyFill="1" applyBorder="1" applyAlignment="1">
      <alignment horizontal="center" vertical="center"/>
    </xf>
    <xf numFmtId="0" fontId="176" fillId="37" borderId="17" xfId="0" applyFont="1" applyFill="1" applyBorder="1" applyAlignment="1" applyProtection="1">
      <alignment horizontal="left" vertical="top" wrapText="1"/>
      <protection/>
    </xf>
    <xf numFmtId="0" fontId="154" fillId="37" borderId="17" xfId="0" applyFont="1" applyFill="1" applyBorder="1" applyAlignment="1" applyProtection="1">
      <alignment horizontal="center" vertical="center" wrapText="1"/>
      <protection/>
    </xf>
    <xf numFmtId="0" fontId="161" fillId="37" borderId="17" xfId="0" applyFont="1" applyFill="1" applyBorder="1" applyAlignment="1" applyProtection="1">
      <alignment horizontal="center" vertical="center" wrapText="1"/>
      <protection/>
    </xf>
    <xf numFmtId="2" fontId="158" fillId="37" borderId="17" xfId="0" applyNumberFormat="1" applyFont="1" applyFill="1" applyBorder="1" applyAlignment="1">
      <alignment horizontal="center" vertical="center"/>
    </xf>
    <xf numFmtId="2" fontId="164" fillId="37" borderId="17" xfId="0" applyNumberFormat="1" applyFont="1" applyFill="1" applyBorder="1" applyAlignment="1">
      <alignment horizontal="center" vertical="center"/>
    </xf>
    <xf numFmtId="0" fontId="176" fillId="34" borderId="17" xfId="0" applyFont="1" applyFill="1" applyBorder="1" applyAlignment="1" applyProtection="1">
      <alignment horizontal="left" vertical="top" wrapText="1"/>
      <protection/>
    </xf>
    <xf numFmtId="0" fontId="154" fillId="34" borderId="17" xfId="0" applyFont="1" applyFill="1" applyBorder="1" applyAlignment="1" applyProtection="1">
      <alignment horizontal="center" vertical="center" wrapText="1"/>
      <protection/>
    </xf>
    <xf numFmtId="0" fontId="161" fillId="34" borderId="17" xfId="0" applyFont="1" applyFill="1" applyBorder="1" applyAlignment="1" applyProtection="1">
      <alignment horizontal="center" vertical="center" wrapText="1"/>
      <protection/>
    </xf>
    <xf numFmtId="2" fontId="158" fillId="34" borderId="17" xfId="0" applyNumberFormat="1" applyFont="1" applyFill="1" applyBorder="1" applyAlignment="1">
      <alignment horizontal="center" vertical="center"/>
    </xf>
    <xf numFmtId="2" fontId="164" fillId="34" borderId="17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165" fontId="165" fillId="34" borderId="17" xfId="0" applyNumberFormat="1" applyFont="1" applyFill="1" applyBorder="1" applyAlignment="1" applyProtection="1">
      <alignment horizontal="center" vertical="center" wrapText="1"/>
      <protection/>
    </xf>
    <xf numFmtId="0" fontId="212" fillId="35" borderId="17" xfId="0" applyFont="1" applyFill="1" applyBorder="1" applyAlignment="1" applyProtection="1">
      <alignment horizontal="left" vertical="top" wrapText="1"/>
      <protection/>
    </xf>
    <xf numFmtId="0" fontId="160" fillId="35" borderId="17" xfId="0" applyFont="1" applyFill="1" applyBorder="1" applyAlignment="1" applyProtection="1">
      <alignment horizontal="center" vertical="center" wrapText="1"/>
      <protection/>
    </xf>
    <xf numFmtId="0" fontId="163" fillId="35" borderId="17" xfId="0" applyFont="1" applyFill="1" applyBorder="1" applyAlignment="1" applyProtection="1">
      <alignment horizontal="center" vertical="center" wrapText="1"/>
      <protection/>
    </xf>
    <xf numFmtId="2" fontId="178" fillId="35" borderId="17" xfId="0" applyNumberFormat="1" applyFont="1" applyFill="1" applyBorder="1" applyAlignment="1">
      <alignment horizontal="center" vertical="center"/>
    </xf>
    <xf numFmtId="2" fontId="163" fillId="35" borderId="17" xfId="0" applyNumberFormat="1" applyFont="1" applyFill="1" applyBorder="1" applyAlignment="1">
      <alignment horizontal="center" vertical="center"/>
    </xf>
    <xf numFmtId="165" fontId="166" fillId="35" borderId="17" xfId="0" applyNumberFormat="1" applyFont="1" applyFill="1" applyBorder="1" applyAlignment="1" applyProtection="1">
      <alignment horizontal="center" vertical="center" wrapText="1"/>
      <protection/>
    </xf>
    <xf numFmtId="164" fontId="166" fillId="35" borderId="17" xfId="0" applyNumberFormat="1" applyFont="1" applyFill="1" applyBorder="1" applyAlignment="1" applyProtection="1">
      <alignment horizontal="center" vertical="center" wrapText="1"/>
      <protection/>
    </xf>
    <xf numFmtId="0" fontId="159" fillId="35" borderId="17" xfId="0" applyFont="1" applyFill="1" applyBorder="1" applyAlignment="1" applyProtection="1">
      <alignment horizontal="center" vertical="center" wrapText="1"/>
      <protection/>
    </xf>
    <xf numFmtId="0" fontId="212" fillId="39" borderId="17" xfId="0" applyFont="1" applyFill="1" applyBorder="1" applyAlignment="1" applyProtection="1">
      <alignment horizontal="left" vertical="top" wrapText="1"/>
      <protection/>
    </xf>
    <xf numFmtId="0" fontId="159" fillId="39" borderId="17" xfId="0" applyFont="1" applyFill="1" applyBorder="1" applyAlignment="1" applyProtection="1">
      <alignment horizontal="center" vertical="center" wrapText="1"/>
      <protection/>
    </xf>
    <xf numFmtId="0" fontId="163" fillId="39" borderId="17" xfId="0" applyFont="1" applyFill="1" applyBorder="1" applyAlignment="1" applyProtection="1">
      <alignment horizontal="center" vertical="center" wrapText="1"/>
      <protection/>
    </xf>
    <xf numFmtId="2" fontId="178" fillId="39" borderId="17" xfId="0" applyNumberFormat="1" applyFont="1" applyFill="1" applyBorder="1" applyAlignment="1">
      <alignment horizontal="center" vertical="center"/>
    </xf>
    <xf numFmtId="2" fontId="163" fillId="39" borderId="17" xfId="0" applyNumberFormat="1" applyFont="1" applyFill="1" applyBorder="1" applyAlignment="1">
      <alignment horizontal="center" vertical="center"/>
    </xf>
    <xf numFmtId="0" fontId="188" fillId="57" borderId="67" xfId="0" applyFont="1" applyFill="1" applyBorder="1" applyAlignment="1" applyProtection="1">
      <alignment horizontal="center" vertical="center" shrinkToFit="1"/>
      <protection locked="0"/>
    </xf>
    <xf numFmtId="0" fontId="188" fillId="57" borderId="68" xfId="0" applyFont="1" applyFill="1" applyBorder="1" applyAlignment="1" applyProtection="1">
      <alignment horizontal="center" vertical="center" shrinkToFit="1"/>
      <protection locked="0"/>
    </xf>
    <xf numFmtId="167" fontId="190" fillId="5" borderId="41" xfId="0" applyNumberFormat="1" applyFont="1" applyFill="1" applyBorder="1" applyAlignment="1" applyProtection="1">
      <alignment horizontal="center" vertical="center"/>
      <protection locked="0"/>
    </xf>
    <xf numFmtId="167" fontId="190" fillId="11" borderId="14" xfId="0" applyNumberFormat="1" applyFont="1" applyFill="1" applyBorder="1" applyAlignment="1" applyProtection="1">
      <alignment horizontal="center" vertical="center"/>
      <protection locked="0"/>
    </xf>
    <xf numFmtId="167" fontId="190" fillId="11" borderId="41" xfId="0" applyNumberFormat="1" applyFont="1" applyFill="1" applyBorder="1" applyAlignment="1" applyProtection="1">
      <alignment horizontal="center" vertical="center"/>
      <protection locked="0"/>
    </xf>
    <xf numFmtId="167" fontId="190" fillId="17" borderId="14" xfId="0" applyNumberFormat="1" applyFont="1" applyFill="1" applyBorder="1" applyAlignment="1" applyProtection="1">
      <alignment horizontal="center" vertical="center"/>
      <protection locked="0"/>
    </xf>
    <xf numFmtId="167" fontId="190" fillId="33" borderId="23" xfId="0" applyNumberFormat="1" applyFont="1" applyFill="1" applyBorder="1" applyAlignment="1" applyProtection="1">
      <alignment horizontal="center" vertical="center"/>
      <protection locked="0"/>
    </xf>
    <xf numFmtId="167" fontId="190" fillId="33" borderId="14" xfId="0" applyNumberFormat="1" applyFont="1" applyFill="1" applyBorder="1" applyAlignment="1" applyProtection="1">
      <alignment horizontal="center" vertical="center"/>
      <protection locked="0"/>
    </xf>
    <xf numFmtId="167" fontId="190" fillId="33" borderId="41" xfId="0" applyNumberFormat="1" applyFont="1" applyFill="1" applyBorder="1" applyAlignment="1" applyProtection="1">
      <alignment horizontal="center" vertical="center"/>
      <protection locked="0"/>
    </xf>
    <xf numFmtId="167" fontId="190" fillId="36" borderId="14" xfId="0" applyNumberFormat="1" applyFont="1" applyFill="1" applyBorder="1" applyAlignment="1" applyProtection="1">
      <alignment horizontal="center" vertical="center"/>
      <protection locked="0"/>
    </xf>
    <xf numFmtId="167" fontId="190" fillId="6" borderId="14" xfId="0" applyNumberFormat="1" applyFont="1" applyFill="1" applyBorder="1" applyAlignment="1" applyProtection="1">
      <alignment horizontal="center" vertical="center"/>
      <protection locked="0"/>
    </xf>
    <xf numFmtId="167" fontId="190" fillId="6" borderId="41" xfId="0" applyNumberFormat="1" applyFont="1" applyFill="1" applyBorder="1" applyAlignment="1" applyProtection="1">
      <alignment horizontal="center" vertical="center"/>
      <protection locked="0"/>
    </xf>
    <xf numFmtId="167" fontId="190" fillId="12" borderId="14" xfId="0" applyNumberFormat="1" applyFont="1" applyFill="1" applyBorder="1" applyAlignment="1" applyProtection="1">
      <alignment horizontal="center" vertical="center"/>
      <protection locked="0"/>
    </xf>
    <xf numFmtId="167" fontId="190" fillId="4" borderId="23" xfId="0" applyNumberFormat="1" applyFont="1" applyFill="1" applyBorder="1" applyAlignment="1" applyProtection="1">
      <alignment horizontal="center" vertical="center"/>
      <protection locked="0"/>
    </xf>
    <xf numFmtId="167" fontId="190" fillId="4" borderId="14" xfId="0" applyNumberFormat="1" applyFont="1" applyFill="1" applyBorder="1" applyAlignment="1" applyProtection="1">
      <alignment horizontal="center" vertical="center"/>
      <protection locked="0"/>
    </xf>
    <xf numFmtId="167" fontId="190" fillId="10" borderId="14" xfId="0" applyNumberFormat="1" applyFont="1" applyFill="1" applyBorder="1" applyAlignment="1" applyProtection="1">
      <alignment horizontal="center" vertical="center"/>
      <protection locked="0"/>
    </xf>
    <xf numFmtId="167" fontId="190" fillId="7" borderId="14" xfId="0" applyNumberFormat="1" applyFont="1" applyFill="1" applyBorder="1" applyAlignment="1" applyProtection="1">
      <alignment horizontal="center" vertical="center"/>
      <protection locked="0"/>
    </xf>
    <xf numFmtId="167" fontId="190" fillId="13" borderId="14" xfId="0" applyNumberFormat="1" applyFont="1" applyFill="1" applyBorder="1" applyAlignment="1" applyProtection="1">
      <alignment horizontal="center" vertical="center"/>
      <protection locked="0"/>
    </xf>
    <xf numFmtId="167" fontId="190" fillId="13" borderId="41" xfId="0" applyNumberFormat="1" applyFont="1" applyFill="1" applyBorder="1" applyAlignment="1" applyProtection="1">
      <alignment horizontal="center" vertical="center"/>
      <protection locked="0"/>
    </xf>
    <xf numFmtId="167" fontId="191" fillId="53" borderId="14" xfId="0" applyNumberFormat="1" applyFont="1" applyFill="1" applyBorder="1" applyAlignment="1" applyProtection="1">
      <alignment horizontal="center" vertical="center"/>
      <protection locked="0"/>
    </xf>
    <xf numFmtId="167" fontId="191" fillId="53" borderId="41" xfId="0" applyNumberFormat="1" applyFont="1" applyFill="1" applyBorder="1" applyAlignment="1" applyProtection="1">
      <alignment horizontal="center" vertical="center"/>
      <protection locked="0"/>
    </xf>
    <xf numFmtId="167" fontId="191" fillId="49" borderId="14" xfId="0" applyNumberFormat="1" applyFont="1" applyFill="1" applyBorder="1" applyAlignment="1" applyProtection="1">
      <alignment horizontal="center" vertical="center"/>
      <protection locked="0"/>
    </xf>
    <xf numFmtId="167" fontId="190" fillId="37" borderId="23" xfId="0" applyNumberFormat="1" applyFont="1" applyFill="1" applyBorder="1" applyAlignment="1" applyProtection="1">
      <alignment horizontal="center" vertical="center"/>
      <protection locked="0"/>
    </xf>
    <xf numFmtId="167" fontId="190" fillId="37" borderId="14" xfId="0" applyNumberFormat="1" applyFont="1" applyFill="1" applyBorder="1" applyAlignment="1" applyProtection="1">
      <alignment horizontal="center" vertical="center"/>
      <protection locked="0"/>
    </xf>
    <xf numFmtId="167" fontId="190" fillId="34" borderId="14" xfId="0" applyNumberFormat="1" applyFont="1" applyFill="1" applyBorder="1" applyAlignment="1" applyProtection="1">
      <alignment horizontal="center" vertical="center"/>
      <protection locked="0"/>
    </xf>
    <xf numFmtId="167" fontId="190" fillId="34" borderId="41" xfId="0" applyNumberFormat="1" applyFont="1" applyFill="1" applyBorder="1" applyAlignment="1" applyProtection="1">
      <alignment horizontal="center" vertical="center"/>
      <protection locked="0"/>
    </xf>
    <xf numFmtId="167" fontId="192" fillId="35" borderId="14" xfId="0" applyNumberFormat="1" applyFont="1" applyFill="1" applyBorder="1" applyAlignment="1" applyProtection="1">
      <alignment horizontal="center" vertical="center"/>
      <protection locked="0"/>
    </xf>
    <xf numFmtId="167" fontId="192" fillId="35" borderId="41" xfId="0" applyNumberFormat="1" applyFont="1" applyFill="1" applyBorder="1" applyAlignment="1" applyProtection="1">
      <alignment horizontal="center" vertical="center"/>
      <protection locked="0"/>
    </xf>
    <xf numFmtId="167" fontId="192" fillId="39" borderId="14" xfId="0" applyNumberFormat="1" applyFont="1" applyFill="1" applyBorder="1" applyAlignment="1" applyProtection="1">
      <alignment horizontal="center" vertical="center"/>
      <protection locked="0"/>
    </xf>
    <xf numFmtId="0" fontId="147" fillId="56" borderId="69" xfId="0" applyFont="1" applyFill="1" applyBorder="1" applyAlignment="1" applyProtection="1">
      <alignment horizontal="center" vertical="center"/>
      <protection locked="0"/>
    </xf>
    <xf numFmtId="0" fontId="195" fillId="17" borderId="17" xfId="0" applyFont="1" applyFill="1" applyBorder="1" applyAlignment="1" applyProtection="1">
      <alignment horizontal="left" vertical="top" wrapText="1"/>
      <protection/>
    </xf>
    <xf numFmtId="0" fontId="195" fillId="6" borderId="17" xfId="0" applyFont="1" applyFill="1" applyBorder="1" applyAlignment="1" applyProtection="1">
      <alignment horizontal="left" vertical="top" wrapText="1"/>
      <protection/>
    </xf>
    <xf numFmtId="0" fontId="170" fillId="4" borderId="17" xfId="0" applyFont="1" applyFill="1" applyBorder="1" applyAlignment="1" applyProtection="1">
      <alignment horizontal="center" vertical="center" shrinkToFit="1"/>
      <protection locked="0"/>
    </xf>
    <xf numFmtId="0" fontId="213" fillId="0" borderId="70" xfId="0" applyFont="1" applyBorder="1" applyAlignment="1">
      <alignment horizontal="center"/>
    </xf>
    <xf numFmtId="0" fontId="196" fillId="45" borderId="53" xfId="0" applyFont="1" applyFill="1" applyBorder="1" applyAlignment="1" applyProtection="1">
      <alignment horizontal="left" vertical="center" shrinkToFit="1"/>
      <protection locked="0"/>
    </xf>
    <xf numFmtId="0" fontId="196" fillId="45" borderId="71" xfId="0" applyFont="1" applyFill="1" applyBorder="1" applyAlignment="1" applyProtection="1">
      <alignment horizontal="left" vertical="center" shrinkToFit="1"/>
      <protection locked="0"/>
    </xf>
    <xf numFmtId="0" fontId="196" fillId="45" borderId="72" xfId="0" applyFont="1" applyFill="1" applyBorder="1" applyAlignment="1" applyProtection="1">
      <alignment horizontal="left" vertical="center" shrinkToFit="1"/>
      <protection locked="0"/>
    </xf>
    <xf numFmtId="0" fontId="184" fillId="56" borderId="41" xfId="0" applyFont="1" applyFill="1" applyBorder="1" applyAlignment="1">
      <alignment horizontal="right" vertical="center"/>
    </xf>
    <xf numFmtId="0" fontId="196" fillId="58" borderId="21" xfId="0" applyFont="1" applyFill="1" applyBorder="1" applyAlignment="1" applyProtection="1">
      <alignment horizontal="left" vertical="center" shrinkToFit="1"/>
      <protection locked="0"/>
    </xf>
    <xf numFmtId="0" fontId="196" fillId="58" borderId="73" xfId="0" applyFont="1" applyFill="1" applyBorder="1" applyAlignment="1" applyProtection="1">
      <alignment horizontal="left" vertical="center" shrinkToFit="1"/>
      <protection locked="0"/>
    </xf>
    <xf numFmtId="0" fontId="196" fillId="58" borderId="74" xfId="0" applyFont="1" applyFill="1" applyBorder="1" applyAlignment="1" applyProtection="1">
      <alignment horizontal="left" vertical="center" shrinkToFit="1"/>
      <protection locked="0"/>
    </xf>
    <xf numFmtId="0" fontId="196" fillId="45" borderId="75" xfId="0" applyFont="1" applyFill="1" applyBorder="1" applyAlignment="1" applyProtection="1">
      <alignment horizontal="left" vertical="center" shrinkToFit="1"/>
      <protection locked="0"/>
    </xf>
    <xf numFmtId="0" fontId="196" fillId="45" borderId="76" xfId="0" applyFont="1" applyFill="1" applyBorder="1" applyAlignment="1" applyProtection="1">
      <alignment horizontal="left" vertical="center" shrinkToFit="1"/>
      <protection locked="0"/>
    </xf>
    <xf numFmtId="0" fontId="196" fillId="45" borderId="77" xfId="0" applyFont="1" applyFill="1" applyBorder="1" applyAlignment="1" applyProtection="1">
      <alignment horizontal="left" vertical="center" shrinkToFit="1"/>
      <protection locked="0"/>
    </xf>
    <xf numFmtId="0" fontId="196" fillId="45" borderId="21" xfId="0" applyFont="1" applyFill="1" applyBorder="1" applyAlignment="1" applyProtection="1">
      <alignment horizontal="left" vertical="center" shrinkToFit="1"/>
      <protection locked="0"/>
    </xf>
    <xf numFmtId="0" fontId="196" fillId="45" borderId="73" xfId="0" applyFont="1" applyFill="1" applyBorder="1" applyAlignment="1" applyProtection="1">
      <alignment horizontal="left" vertical="center" shrinkToFit="1"/>
      <protection locked="0"/>
    </xf>
    <xf numFmtId="0" fontId="196" fillId="45" borderId="74" xfId="0" applyFont="1" applyFill="1" applyBorder="1" applyAlignment="1" applyProtection="1">
      <alignment horizontal="left" vertical="center" shrinkToFit="1"/>
      <protection locked="0"/>
    </xf>
    <xf numFmtId="0" fontId="198" fillId="6" borderId="75" xfId="0" applyFont="1" applyFill="1" applyBorder="1" applyAlignment="1" applyProtection="1">
      <alignment horizontal="left" vertical="center"/>
      <protection locked="0"/>
    </xf>
    <xf numFmtId="0" fontId="198" fillId="6" borderId="76" xfId="0" applyFont="1" applyFill="1" applyBorder="1" applyAlignment="1" applyProtection="1">
      <alignment horizontal="left" vertical="center"/>
      <protection locked="0"/>
    </xf>
    <xf numFmtId="0" fontId="198" fillId="6" borderId="77" xfId="0" applyFont="1" applyFill="1" applyBorder="1" applyAlignment="1" applyProtection="1">
      <alignment horizontal="left" vertical="center"/>
      <protection locked="0"/>
    </xf>
    <xf numFmtId="0" fontId="198" fillId="7" borderId="75" xfId="0" applyFont="1" applyFill="1" applyBorder="1" applyAlignment="1" applyProtection="1">
      <alignment horizontal="left" vertical="center" shrinkToFit="1"/>
      <protection locked="0"/>
    </xf>
    <xf numFmtId="0" fontId="198" fillId="7" borderId="76" xfId="0" applyFont="1" applyFill="1" applyBorder="1" applyAlignment="1" applyProtection="1">
      <alignment horizontal="left" vertical="center" shrinkToFit="1"/>
      <protection locked="0"/>
    </xf>
    <xf numFmtId="0" fontId="198" fillId="7" borderId="77" xfId="0" applyFont="1" applyFill="1" applyBorder="1" applyAlignment="1" applyProtection="1">
      <alignment horizontal="left" vertical="center" shrinkToFit="1"/>
      <protection locked="0"/>
    </xf>
    <xf numFmtId="0" fontId="198" fillId="7" borderId="21" xfId="0" applyFont="1" applyFill="1" applyBorder="1" applyAlignment="1" applyProtection="1">
      <alignment horizontal="left" vertical="center" shrinkToFit="1"/>
      <protection locked="0"/>
    </xf>
    <xf numFmtId="0" fontId="198" fillId="7" borderId="73" xfId="0" applyFont="1" applyFill="1" applyBorder="1" applyAlignment="1" applyProtection="1">
      <alignment horizontal="left" vertical="center" shrinkToFit="1"/>
      <protection locked="0"/>
    </xf>
    <xf numFmtId="0" fontId="198" fillId="7" borderId="74" xfId="0" applyFont="1" applyFill="1" applyBorder="1" applyAlignment="1" applyProtection="1">
      <alignment horizontal="left" vertical="center" shrinkToFit="1"/>
      <protection locked="0"/>
    </xf>
    <xf numFmtId="0" fontId="198" fillId="7" borderId="53" xfId="0" applyFont="1" applyFill="1" applyBorder="1" applyAlignment="1" applyProtection="1">
      <alignment horizontal="left" vertical="center" shrinkToFit="1"/>
      <protection locked="0"/>
    </xf>
    <xf numFmtId="0" fontId="198" fillId="7" borderId="71" xfId="0" applyFont="1" applyFill="1" applyBorder="1" applyAlignment="1" applyProtection="1">
      <alignment horizontal="left" vertical="center" shrinkToFit="1"/>
      <protection locked="0"/>
    </xf>
    <xf numFmtId="0" fontId="198" fillId="7" borderId="72" xfId="0" applyFont="1" applyFill="1" applyBorder="1" applyAlignment="1" applyProtection="1">
      <alignment horizontal="left" vertical="center" shrinkToFit="1"/>
      <protection locked="0"/>
    </xf>
    <xf numFmtId="0" fontId="196" fillId="58" borderId="75" xfId="0" applyFont="1" applyFill="1" applyBorder="1" applyAlignment="1" applyProtection="1">
      <alignment horizontal="left" vertical="center" shrinkToFit="1"/>
      <protection locked="0"/>
    </xf>
    <xf numFmtId="0" fontId="196" fillId="58" borderId="76" xfId="0" applyFont="1" applyFill="1" applyBorder="1" applyAlignment="1" applyProtection="1">
      <alignment horizontal="left" vertical="center" shrinkToFit="1"/>
      <protection locked="0"/>
    </xf>
    <xf numFmtId="0" fontId="196" fillId="58" borderId="77" xfId="0" applyFont="1" applyFill="1" applyBorder="1" applyAlignment="1" applyProtection="1">
      <alignment horizontal="left" vertical="center" shrinkToFit="1"/>
      <protection locked="0"/>
    </xf>
    <xf numFmtId="0" fontId="168" fillId="50" borderId="15" xfId="0" applyFont="1" applyFill="1" applyBorder="1" applyAlignment="1" quotePrefix="1">
      <alignment horizontal="center" vertical="center"/>
    </xf>
    <xf numFmtId="0" fontId="168" fillId="50" borderId="14" xfId="0" applyFont="1" applyFill="1" applyBorder="1" applyAlignment="1">
      <alignment horizontal="center" vertical="center"/>
    </xf>
    <xf numFmtId="0" fontId="168" fillId="50" borderId="16" xfId="0" applyFont="1" applyFill="1" applyBorder="1" applyAlignment="1">
      <alignment horizontal="center" vertical="center"/>
    </xf>
    <xf numFmtId="0" fontId="196" fillId="5" borderId="21" xfId="0" applyFont="1" applyFill="1" applyBorder="1" applyAlignment="1" applyProtection="1">
      <alignment horizontal="left" vertical="center" shrinkToFit="1"/>
      <protection locked="0"/>
    </xf>
    <xf numFmtId="0" fontId="196" fillId="5" borderId="73" xfId="0" applyFont="1" applyFill="1" applyBorder="1" applyAlignment="1" applyProtection="1">
      <alignment horizontal="left" vertical="center" shrinkToFit="1"/>
      <protection locked="0"/>
    </xf>
    <xf numFmtId="0" fontId="196" fillId="5" borderId="74" xfId="0" applyFont="1" applyFill="1" applyBorder="1" applyAlignment="1" applyProtection="1">
      <alignment horizontal="left" vertical="center" shrinkToFit="1"/>
      <protection locked="0"/>
    </xf>
    <xf numFmtId="0" fontId="196" fillId="5" borderId="53" xfId="0" applyFont="1" applyFill="1" applyBorder="1" applyAlignment="1" applyProtection="1">
      <alignment horizontal="left" vertical="center" shrinkToFit="1"/>
      <protection locked="0"/>
    </xf>
    <xf numFmtId="0" fontId="196" fillId="5" borderId="71" xfId="0" applyFont="1" applyFill="1" applyBorder="1" applyAlignment="1" applyProtection="1">
      <alignment horizontal="left" vertical="center" shrinkToFit="1"/>
      <protection locked="0"/>
    </xf>
    <xf numFmtId="0" fontId="196" fillId="5" borderId="72" xfId="0" applyFont="1" applyFill="1" applyBorder="1" applyAlignment="1" applyProtection="1">
      <alignment horizontal="left" vertical="center" shrinkToFit="1"/>
      <protection locked="0"/>
    </xf>
    <xf numFmtId="0" fontId="214" fillId="39" borderId="0" xfId="0" applyFont="1" applyFill="1" applyBorder="1" applyAlignment="1">
      <alignment horizontal="center" vertical="center"/>
    </xf>
    <xf numFmtId="0" fontId="215" fillId="39" borderId="0" xfId="0" applyFont="1" applyFill="1" applyBorder="1" applyAlignment="1">
      <alignment horizontal="center" vertical="center"/>
    </xf>
    <xf numFmtId="0" fontId="216" fillId="60" borderId="0" xfId="0" applyFont="1" applyFill="1" applyBorder="1" applyAlignment="1" applyProtection="1">
      <alignment horizontal="center" vertical="center" wrapText="1"/>
      <protection/>
    </xf>
    <xf numFmtId="0" fontId="217" fillId="61" borderId="0" xfId="0" applyFont="1" applyFill="1" applyAlignment="1" quotePrefix="1">
      <alignment horizontal="center"/>
    </xf>
    <xf numFmtId="0" fontId="217" fillId="61" borderId="0" xfId="0" applyFont="1" applyFill="1" applyAlignment="1">
      <alignment horizontal="center"/>
    </xf>
    <xf numFmtId="0" fontId="168" fillId="62" borderId="43" xfId="0" applyFont="1" applyFill="1" applyBorder="1" applyAlignment="1">
      <alignment horizontal="center" vertical="center"/>
    </xf>
    <xf numFmtId="0" fontId="168" fillId="62" borderId="41" xfId="0" applyFont="1" applyFill="1" applyBorder="1" applyAlignment="1">
      <alignment horizontal="center" vertical="center"/>
    </xf>
    <xf numFmtId="0" fontId="168" fillId="62" borderId="42" xfId="0" applyFont="1" applyFill="1" applyBorder="1" applyAlignment="1">
      <alignment horizontal="center" vertical="center"/>
    </xf>
    <xf numFmtId="0" fontId="198" fillId="5" borderId="75" xfId="0" applyFont="1" applyFill="1" applyBorder="1" applyAlignment="1" applyProtection="1">
      <alignment horizontal="left" vertical="center" shrinkToFit="1"/>
      <protection locked="0"/>
    </xf>
    <xf numFmtId="0" fontId="198" fillId="5" borderId="76" xfId="0" applyFont="1" applyFill="1" applyBorder="1" applyAlignment="1" applyProtection="1">
      <alignment horizontal="left" vertical="center" shrinkToFit="1"/>
      <protection locked="0"/>
    </xf>
    <xf numFmtId="0" fontId="198" fillId="5" borderId="77" xfId="0" applyFont="1" applyFill="1" applyBorder="1" applyAlignment="1" applyProtection="1">
      <alignment horizontal="left" vertical="center" shrinkToFit="1"/>
      <protection locked="0"/>
    </xf>
    <xf numFmtId="0" fontId="198" fillId="5" borderId="21" xfId="0" applyFont="1" applyFill="1" applyBorder="1" applyAlignment="1" applyProtection="1">
      <alignment horizontal="left" vertical="center" shrinkToFit="1"/>
      <protection locked="0"/>
    </xf>
    <xf numFmtId="0" fontId="198" fillId="5" borderId="73" xfId="0" applyFont="1" applyFill="1" applyBorder="1" applyAlignment="1" applyProtection="1">
      <alignment horizontal="left" vertical="center" shrinkToFit="1"/>
      <protection locked="0"/>
    </xf>
    <xf numFmtId="0" fontId="198" fillId="5" borderId="74" xfId="0" applyFont="1" applyFill="1" applyBorder="1" applyAlignment="1" applyProtection="1">
      <alignment horizontal="left" vertical="center" shrinkToFit="1"/>
      <protection locked="0"/>
    </xf>
    <xf numFmtId="0" fontId="173" fillId="41" borderId="15" xfId="0" applyFont="1" applyFill="1" applyBorder="1" applyAlignment="1">
      <alignment horizontal="center" vertical="center"/>
    </xf>
    <xf numFmtId="0" fontId="173" fillId="41" borderId="16" xfId="0" applyFont="1" applyFill="1" applyBorder="1" applyAlignment="1">
      <alignment horizontal="center" vertical="center"/>
    </xf>
    <xf numFmtId="0" fontId="167" fillId="0" borderId="15" xfId="0" applyFont="1" applyBorder="1" applyAlignment="1">
      <alignment horizontal="center" vertical="center" wrapText="1"/>
    </xf>
    <xf numFmtId="0" fontId="167" fillId="0" borderId="14" xfId="0" applyFont="1" applyBorder="1" applyAlignment="1">
      <alignment horizontal="center" vertical="center" wrapText="1"/>
    </xf>
    <xf numFmtId="0" fontId="167" fillId="0" borderId="16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208" fillId="0" borderId="0" xfId="0" applyFont="1" applyAlignment="1">
      <alignment horizontal="center" vertical="center"/>
    </xf>
    <xf numFmtId="0" fontId="208" fillId="0" borderId="0" xfId="0" applyFont="1" applyBorder="1" applyAlignment="1">
      <alignment horizontal="center" vertical="center"/>
    </xf>
    <xf numFmtId="0" fontId="218" fillId="0" borderId="0" xfId="0" applyFont="1" applyBorder="1" applyAlignment="1" applyProtection="1">
      <alignment horizontal="center" vertical="center"/>
      <protection/>
    </xf>
    <xf numFmtId="166" fontId="176" fillId="0" borderId="15" xfId="0" applyNumberFormat="1" applyFont="1" applyBorder="1" applyAlignment="1">
      <alignment horizontal="center" vertical="center" wrapText="1"/>
    </xf>
    <xf numFmtId="166" fontId="176" fillId="0" borderId="14" xfId="0" applyNumberFormat="1" applyFont="1" applyBorder="1" applyAlignment="1">
      <alignment horizontal="center" vertical="center" wrapText="1"/>
    </xf>
    <xf numFmtId="166" fontId="176" fillId="0" borderId="16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2" fontId="190" fillId="0" borderId="15" xfId="0" applyNumberFormat="1" applyFont="1" applyFill="1" applyBorder="1" applyAlignment="1">
      <alignment horizontal="center" vertical="center"/>
    </xf>
    <xf numFmtId="2" fontId="190" fillId="0" borderId="14" xfId="0" applyNumberFormat="1" applyFont="1" applyFill="1" applyBorder="1" applyAlignment="1">
      <alignment horizontal="center" vertical="center"/>
    </xf>
    <xf numFmtId="2" fontId="190" fillId="0" borderId="16" xfId="0" applyNumberFormat="1" applyFont="1" applyFill="1" applyBorder="1" applyAlignment="1">
      <alignment horizontal="center" vertical="center"/>
    </xf>
    <xf numFmtId="0" fontId="219" fillId="0" borderId="15" xfId="0" applyFont="1" applyBorder="1" applyAlignment="1">
      <alignment horizontal="center" vertical="center"/>
    </xf>
    <xf numFmtId="0" fontId="219" fillId="0" borderId="14" xfId="0" applyFont="1" applyBorder="1" applyAlignment="1">
      <alignment horizontal="center" vertical="center"/>
    </xf>
    <xf numFmtId="0" fontId="179" fillId="0" borderId="15" xfId="0" applyFont="1" applyBorder="1" applyAlignment="1">
      <alignment horizontal="center"/>
    </xf>
    <xf numFmtId="0" fontId="179" fillId="0" borderId="14" xfId="0" applyFont="1" applyBorder="1" applyAlignment="1">
      <alignment horizontal="center"/>
    </xf>
    <xf numFmtId="0" fontId="179" fillId="0" borderId="16" xfId="0" applyFont="1" applyBorder="1" applyAlignment="1">
      <alignment horizontal="center"/>
    </xf>
    <xf numFmtId="0" fontId="9" fillId="0" borderId="15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219" fillId="0" borderId="16" xfId="0" applyFont="1" applyBorder="1" applyAlignment="1">
      <alignment horizontal="center" vertical="center"/>
    </xf>
    <xf numFmtId="0" fontId="220" fillId="0" borderId="0" xfId="0" applyFont="1" applyAlignment="1" applyProtection="1">
      <alignment horizontal="center" vertical="center" shrinkToFit="1"/>
      <protection/>
    </xf>
    <xf numFmtId="0" fontId="221" fillId="0" borderId="0" xfId="0" applyFont="1" applyAlignment="1">
      <alignment horizontal="center" vertical="center"/>
    </xf>
    <xf numFmtId="0" fontId="222" fillId="0" borderId="23" xfId="0" applyFont="1" applyBorder="1" applyAlignment="1" applyProtection="1">
      <alignment horizontal="center" vertical="center" shrinkToFit="1"/>
      <protection/>
    </xf>
    <xf numFmtId="0" fontId="223" fillId="25" borderId="78" xfId="0" applyFont="1" applyFill="1" applyBorder="1" applyAlignment="1">
      <alignment horizontal="left" vertical="center" textRotation="90" wrapText="1"/>
    </xf>
    <xf numFmtId="0" fontId="223" fillId="25" borderId="79" xfId="0" applyFont="1" applyFill="1" applyBorder="1" applyAlignment="1">
      <alignment horizontal="left" vertical="center" textRotation="90" wrapText="1"/>
    </xf>
    <xf numFmtId="0" fontId="224" fillId="50" borderId="78" xfId="0" applyFont="1" applyFill="1" applyBorder="1" applyAlignment="1">
      <alignment horizontal="left" vertical="center" textRotation="90" wrapText="1"/>
    </xf>
    <xf numFmtId="0" fontId="224" fillId="50" borderId="79" xfId="0" applyFont="1" applyFill="1" applyBorder="1" applyAlignment="1">
      <alignment horizontal="left" vertical="center" textRotation="90" wrapText="1"/>
    </xf>
    <xf numFmtId="0" fontId="223" fillId="59" borderId="78" xfId="0" applyFont="1" applyFill="1" applyBorder="1" applyAlignment="1">
      <alignment horizontal="left" vertical="center" textRotation="90" wrapText="1"/>
    </xf>
    <xf numFmtId="0" fontId="223" fillId="59" borderId="80" xfId="0" applyFont="1" applyFill="1" applyBorder="1" applyAlignment="1">
      <alignment horizontal="left" vertical="center" textRotation="90" wrapText="1"/>
    </xf>
    <xf numFmtId="0" fontId="223" fillId="59" borderId="79" xfId="0" applyFont="1" applyFill="1" applyBorder="1" applyAlignment="1">
      <alignment horizontal="left" vertical="center" textRotation="90" wrapText="1"/>
    </xf>
    <xf numFmtId="0" fontId="223" fillId="23" borderId="78" xfId="0" applyFont="1" applyFill="1" applyBorder="1" applyAlignment="1">
      <alignment horizontal="left" vertical="center" textRotation="90" wrapText="1"/>
    </xf>
    <xf numFmtId="0" fontId="223" fillId="23" borderId="80" xfId="0" applyFont="1" applyFill="1" applyBorder="1" applyAlignment="1">
      <alignment horizontal="left" vertical="center" textRotation="90" wrapText="1"/>
    </xf>
    <xf numFmtId="0" fontId="223" fillId="23" borderId="79" xfId="0" applyFont="1" applyFill="1" applyBorder="1" applyAlignment="1">
      <alignment horizontal="left" vertical="center" textRotation="90" wrapText="1"/>
    </xf>
    <xf numFmtId="0" fontId="223" fillId="24" borderId="78" xfId="0" applyFont="1" applyFill="1" applyBorder="1" applyAlignment="1">
      <alignment horizontal="left" vertical="center" textRotation="90" wrapText="1"/>
    </xf>
    <xf numFmtId="0" fontId="223" fillId="24" borderId="79" xfId="0" applyFont="1" applyFill="1" applyBorder="1" applyAlignment="1">
      <alignment horizontal="left" vertical="center" textRotation="90" wrapText="1"/>
    </xf>
    <xf numFmtId="0" fontId="223" fillId="22" borderId="78" xfId="0" applyFont="1" applyFill="1" applyBorder="1" applyAlignment="1">
      <alignment horizontal="left" vertical="center" textRotation="90" wrapText="1"/>
    </xf>
    <xf numFmtId="0" fontId="223" fillId="22" borderId="79" xfId="0" applyFont="1" applyFill="1" applyBorder="1" applyAlignment="1">
      <alignment horizontal="left" vertical="center" textRotation="90" wrapText="1"/>
    </xf>
    <xf numFmtId="0" fontId="199" fillId="0" borderId="43" xfId="0" applyFont="1" applyBorder="1" applyAlignment="1" applyProtection="1">
      <alignment horizontal="left" vertical="center" shrinkToFit="1"/>
      <protection locked="0"/>
    </xf>
    <xf numFmtId="0" fontId="199" fillId="0" borderId="41" xfId="0" applyFont="1" applyBorder="1" applyAlignment="1" applyProtection="1">
      <alignment horizontal="left" vertical="center" shrinkToFit="1"/>
      <protection locked="0"/>
    </xf>
    <xf numFmtId="0" fontId="199" fillId="0" borderId="81" xfId="0" applyFont="1" applyBorder="1" applyAlignment="1" applyProtection="1">
      <alignment horizontal="left" vertical="center" shrinkToFit="1"/>
      <protection locked="0"/>
    </xf>
    <xf numFmtId="0" fontId="199" fillId="0" borderId="44" xfId="0" applyFont="1" applyBorder="1" applyAlignment="1" applyProtection="1">
      <alignment horizontal="left" vertical="center" shrinkToFit="1"/>
      <protection locked="0"/>
    </xf>
    <xf numFmtId="0" fontId="199" fillId="0" borderId="10" xfId="0" applyFont="1" applyBorder="1" applyAlignment="1" applyProtection="1">
      <alignment horizontal="left" vertical="center" shrinkToFit="1"/>
      <protection locked="0"/>
    </xf>
    <xf numFmtId="0" fontId="199" fillId="0" borderId="51" xfId="0" applyFont="1" applyBorder="1" applyAlignment="1" applyProtection="1">
      <alignment horizontal="left" vertical="center" shrinkToFit="1"/>
      <protection locked="0"/>
    </xf>
    <xf numFmtId="0" fontId="225" fillId="0" borderId="42" xfId="0" applyFont="1" applyBorder="1" applyAlignment="1">
      <alignment horizontal="center" vertical="center"/>
    </xf>
    <xf numFmtId="0" fontId="225" fillId="0" borderId="18" xfId="0" applyFont="1" applyBorder="1" applyAlignment="1">
      <alignment horizontal="center" vertical="center"/>
    </xf>
    <xf numFmtId="0" fontId="195" fillId="25" borderId="17" xfId="0" applyFont="1" applyFill="1" applyBorder="1" applyAlignment="1">
      <alignment horizontal="center" vertical="top" wrapText="1"/>
    </xf>
    <xf numFmtId="0" fontId="170" fillId="17" borderId="17" xfId="0" applyFont="1" applyFill="1" applyBorder="1" applyAlignment="1" applyProtection="1">
      <alignment horizontal="center" vertical="center" shrinkToFit="1"/>
      <protection locked="0"/>
    </xf>
    <xf numFmtId="0" fontId="170" fillId="4" borderId="17" xfId="0" applyFont="1" applyFill="1" applyBorder="1" applyAlignment="1" applyProtection="1">
      <alignment horizontal="center" vertical="center" shrinkToFit="1"/>
      <protection locked="0"/>
    </xf>
    <xf numFmtId="0" fontId="170" fillId="10" borderId="17" xfId="0" applyFont="1" applyFill="1" applyBorder="1" applyAlignment="1" applyProtection="1">
      <alignment horizontal="center" vertical="center" shrinkToFit="1"/>
      <protection locked="0"/>
    </xf>
    <xf numFmtId="0" fontId="170" fillId="7" borderId="17" xfId="0" applyFont="1" applyFill="1" applyBorder="1" applyAlignment="1" applyProtection="1">
      <alignment horizontal="center" vertical="center" shrinkToFit="1"/>
      <protection locked="0"/>
    </xf>
    <xf numFmtId="0" fontId="170" fillId="6" borderId="17" xfId="0" applyFont="1" applyFill="1" applyBorder="1" applyAlignment="1" applyProtection="1">
      <alignment horizontal="center" vertical="center" shrinkToFit="1"/>
      <protection locked="0"/>
    </xf>
    <xf numFmtId="0" fontId="154" fillId="12" borderId="17" xfId="0" applyFont="1" applyFill="1" applyBorder="1" applyAlignment="1" applyProtection="1">
      <alignment horizontal="center" vertical="center" shrinkToFit="1"/>
      <protection locked="0"/>
    </xf>
    <xf numFmtId="0" fontId="195" fillId="59" borderId="17" xfId="0" applyFont="1" applyFill="1" applyBorder="1" applyAlignment="1">
      <alignment horizontal="center" vertical="top" wrapText="1"/>
    </xf>
    <xf numFmtId="0" fontId="194" fillId="50" borderId="17" xfId="0" applyFont="1" applyFill="1" applyBorder="1" applyAlignment="1">
      <alignment horizontal="center" vertical="top" wrapText="1"/>
    </xf>
    <xf numFmtId="0" fontId="226" fillId="56" borderId="17" xfId="0" applyFont="1" applyFill="1" applyBorder="1" applyAlignment="1">
      <alignment horizontal="center" vertical="center" wrapText="1"/>
    </xf>
    <xf numFmtId="0" fontId="227" fillId="56" borderId="17" xfId="0" applyFont="1" applyFill="1" applyBorder="1" applyAlignment="1">
      <alignment horizontal="center" vertical="center"/>
    </xf>
    <xf numFmtId="0" fontId="228" fillId="56" borderId="17" xfId="0" applyFont="1" applyFill="1" applyBorder="1" applyAlignment="1">
      <alignment horizontal="center" vertical="center" wrapText="1"/>
    </xf>
    <xf numFmtId="0" fontId="0" fillId="58" borderId="17" xfId="0" applyFill="1" applyBorder="1" applyAlignment="1">
      <alignment horizontal="center" vertical="center" wrapText="1"/>
    </xf>
    <xf numFmtId="0" fontId="195" fillId="17" borderId="17" xfId="0" applyFont="1" applyFill="1" applyBorder="1" applyAlignment="1">
      <alignment horizontal="center" vertical="top" wrapText="1"/>
    </xf>
    <xf numFmtId="0" fontId="170" fillId="11" borderId="17" xfId="0" applyFont="1" applyFill="1" applyBorder="1" applyAlignment="1" applyProtection="1">
      <alignment horizontal="center" vertical="center" shrinkToFit="1"/>
      <protection locked="0"/>
    </xf>
    <xf numFmtId="0" fontId="199" fillId="0" borderId="15" xfId="0" applyFont="1" applyBorder="1" applyAlignment="1" applyProtection="1">
      <alignment horizontal="left" vertical="center" shrinkToFit="1"/>
      <protection locked="0"/>
    </xf>
    <xf numFmtId="0" fontId="199" fillId="0" borderId="14" xfId="0" applyFont="1" applyBorder="1" applyAlignment="1" applyProtection="1">
      <alignment horizontal="left" vertical="center" shrinkToFit="1"/>
      <protection locked="0"/>
    </xf>
    <xf numFmtId="0" fontId="199" fillId="0" borderId="16" xfId="0" applyFont="1" applyBorder="1" applyAlignment="1" applyProtection="1">
      <alignment horizontal="left" vertical="center" shrinkToFit="1"/>
      <protection locked="0"/>
    </xf>
    <xf numFmtId="0" fontId="195" fillId="13" borderId="17" xfId="0" applyFont="1" applyFill="1" applyBorder="1" applyAlignment="1">
      <alignment horizontal="center" vertical="top" wrapText="1"/>
    </xf>
    <xf numFmtId="0" fontId="194" fillId="53" borderId="17" xfId="0" applyFont="1" applyFill="1" applyBorder="1" applyAlignment="1">
      <alignment horizontal="center" vertical="top" wrapText="1"/>
    </xf>
    <xf numFmtId="0" fontId="195" fillId="6" borderId="17" xfId="0" applyFont="1" applyFill="1" applyBorder="1" applyAlignment="1">
      <alignment horizontal="center" vertical="top" wrapText="1"/>
    </xf>
    <xf numFmtId="0" fontId="194" fillId="36" borderId="17" xfId="0" applyFont="1" applyFill="1" applyBorder="1" applyAlignment="1">
      <alignment horizontal="center" vertical="top" wrapText="1"/>
    </xf>
    <xf numFmtId="0" fontId="229" fillId="37" borderId="17" xfId="0" applyFont="1" applyFill="1" applyBorder="1" applyAlignment="1" applyProtection="1">
      <alignment horizontal="center" vertical="center" shrinkToFit="1"/>
      <protection locked="0"/>
    </xf>
    <xf numFmtId="0" fontId="170" fillId="13" borderId="17" xfId="0" applyFont="1" applyFill="1" applyBorder="1" applyAlignment="1" applyProtection="1">
      <alignment horizontal="center" vertical="center" shrinkToFit="1"/>
      <protection locked="0"/>
    </xf>
    <xf numFmtId="0" fontId="195" fillId="37" borderId="17" xfId="0" applyFont="1" applyFill="1" applyBorder="1" applyAlignment="1">
      <alignment horizontal="center" vertical="top" wrapText="1"/>
    </xf>
    <xf numFmtId="0" fontId="195" fillId="10" borderId="17" xfId="0" applyFont="1" applyFill="1" applyBorder="1" applyAlignment="1">
      <alignment horizontal="center" vertical="top" wrapText="1"/>
    </xf>
    <xf numFmtId="0" fontId="195" fillId="7" borderId="17" xfId="0" applyFont="1" applyFill="1" applyBorder="1" applyAlignment="1">
      <alignment horizontal="center" vertical="top" wrapText="1"/>
    </xf>
    <xf numFmtId="0" fontId="195" fillId="12" borderId="17" xfId="0" applyFont="1" applyFill="1" applyBorder="1" applyAlignment="1">
      <alignment horizontal="center" vertical="top" wrapText="1"/>
    </xf>
    <xf numFmtId="0" fontId="159" fillId="39" borderId="17" xfId="0" applyFont="1" applyFill="1" applyBorder="1" applyAlignment="1" applyProtection="1">
      <alignment horizontal="center" vertical="center" shrinkToFit="1"/>
      <protection locked="0"/>
    </xf>
    <xf numFmtId="0" fontId="229" fillId="34" borderId="17" xfId="0" applyFont="1" applyFill="1" applyBorder="1" applyAlignment="1" applyProtection="1">
      <alignment horizontal="center" vertical="center" shrinkToFit="1"/>
      <protection locked="0"/>
    </xf>
    <xf numFmtId="0" fontId="159" fillId="35" borderId="17" xfId="0" applyFont="1" applyFill="1" applyBorder="1" applyAlignment="1" applyProtection="1">
      <alignment horizontal="center" vertical="center" shrinkToFit="1"/>
      <protection locked="0"/>
    </xf>
    <xf numFmtId="0" fontId="230" fillId="35" borderId="17" xfId="0" applyFont="1" applyFill="1" applyBorder="1" applyAlignment="1" applyProtection="1">
      <alignment horizontal="center" vertical="center" shrinkToFit="1"/>
      <protection locked="0"/>
    </xf>
    <xf numFmtId="0" fontId="182" fillId="53" borderId="17" xfId="0" applyFont="1" applyFill="1" applyBorder="1" applyAlignment="1" applyProtection="1">
      <alignment horizontal="center" vertical="center" shrinkToFit="1"/>
      <protection locked="0"/>
    </xf>
    <xf numFmtId="0" fontId="182" fillId="49" borderId="17" xfId="0" applyFont="1" applyFill="1" applyBorder="1" applyAlignment="1" applyProtection="1">
      <alignment horizontal="center" vertical="center" shrinkToFit="1"/>
      <protection locked="0"/>
    </xf>
    <xf numFmtId="0" fontId="195" fillId="34" borderId="17" xfId="0" applyFont="1" applyFill="1" applyBorder="1" applyAlignment="1">
      <alignment horizontal="center" vertical="top" wrapText="1"/>
    </xf>
    <xf numFmtId="0" fontId="193" fillId="56" borderId="82" xfId="0" applyFont="1" applyFill="1" applyBorder="1" applyAlignment="1">
      <alignment horizontal="center" vertical="center"/>
    </xf>
    <xf numFmtId="0" fontId="193" fillId="56" borderId="83" xfId="0" applyFont="1" applyFill="1" applyBorder="1" applyAlignment="1">
      <alignment horizontal="center" vertical="center"/>
    </xf>
    <xf numFmtId="0" fontId="226" fillId="56" borderId="17" xfId="0" applyFont="1" applyFill="1" applyBorder="1" applyAlignment="1">
      <alignment horizontal="center" vertical="top" wrapText="1"/>
    </xf>
    <xf numFmtId="0" fontId="226" fillId="56" borderId="17" xfId="0" applyFont="1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top" wrapText="1"/>
    </xf>
    <xf numFmtId="2" fontId="158" fillId="11" borderId="17" xfId="0" applyNumberFormat="1" applyFont="1" applyFill="1" applyBorder="1" applyAlignment="1">
      <alignment horizontal="center" vertical="center"/>
    </xf>
    <xf numFmtId="0" fontId="231" fillId="56" borderId="17" xfId="0" applyFont="1" applyFill="1" applyBorder="1" applyAlignment="1">
      <alignment horizontal="center" vertical="center" wrapText="1"/>
    </xf>
    <xf numFmtId="0" fontId="193" fillId="56" borderId="84" xfId="0" applyFont="1" applyFill="1" applyBorder="1" applyAlignment="1">
      <alignment horizontal="center" vertical="center" wrapText="1"/>
    </xf>
    <xf numFmtId="0" fontId="193" fillId="56" borderId="85" xfId="0" applyFont="1" applyFill="1" applyBorder="1" applyAlignment="1">
      <alignment horizontal="center" vertical="center" wrapText="1"/>
    </xf>
    <xf numFmtId="0" fontId="193" fillId="56" borderId="86" xfId="0" applyFont="1" applyFill="1" applyBorder="1" applyAlignment="1">
      <alignment horizontal="center" vertical="center" wrapText="1"/>
    </xf>
    <xf numFmtId="0" fontId="193" fillId="56" borderId="87" xfId="0" applyFont="1" applyFill="1" applyBorder="1" applyAlignment="1">
      <alignment horizontal="center" vertical="center" wrapText="1"/>
    </xf>
    <xf numFmtId="0" fontId="232" fillId="62" borderId="17" xfId="0" applyFont="1" applyFill="1" applyBorder="1" applyAlignment="1">
      <alignment horizontal="center" vertical="center" shrinkToFit="1"/>
    </xf>
    <xf numFmtId="0" fontId="195" fillId="5" borderId="17" xfId="0" applyFont="1" applyFill="1" applyBorder="1" applyAlignment="1">
      <alignment horizontal="center" vertical="top" wrapText="1"/>
    </xf>
    <xf numFmtId="0" fontId="199" fillId="0" borderId="88" xfId="0" applyFont="1" applyBorder="1" applyAlignment="1" applyProtection="1">
      <alignment horizontal="left" vertical="center" shrinkToFit="1"/>
      <protection locked="0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233" fillId="45" borderId="17" xfId="0" applyFont="1" applyFill="1" applyBorder="1" applyAlignment="1">
      <alignment horizontal="center" vertical="center" textRotation="90" wrapText="1"/>
    </xf>
    <xf numFmtId="0" fontId="233" fillId="45" borderId="28" xfId="0" applyFont="1" applyFill="1" applyBorder="1" applyAlignment="1">
      <alignment horizontal="center" vertical="center" textRotation="90" wrapText="1"/>
    </xf>
    <xf numFmtId="0" fontId="234" fillId="50" borderId="42" xfId="0" applyFont="1" applyFill="1" applyBorder="1" applyAlignment="1">
      <alignment horizontal="center" vertical="center" wrapText="1"/>
    </xf>
    <xf numFmtId="0" fontId="234" fillId="50" borderId="18" xfId="0" applyFont="1" applyFill="1" applyBorder="1" applyAlignment="1">
      <alignment horizontal="center" vertical="center" wrapText="1"/>
    </xf>
    <xf numFmtId="0" fontId="0" fillId="46" borderId="0" xfId="0" applyFill="1" applyBorder="1" applyAlignment="1" applyProtection="1">
      <alignment horizontal="center"/>
      <protection locked="0"/>
    </xf>
    <xf numFmtId="0" fontId="158" fillId="0" borderId="0" xfId="0" applyFont="1" applyFill="1" applyBorder="1" applyAlignment="1" applyProtection="1">
      <alignment horizontal="center" vertical="center" wrapText="1"/>
      <protection/>
    </xf>
    <xf numFmtId="0" fontId="189" fillId="50" borderId="42" xfId="0" applyFont="1" applyFill="1" applyBorder="1" applyAlignment="1" applyProtection="1">
      <alignment horizontal="center" vertical="center" shrinkToFit="1"/>
      <protection locked="0"/>
    </xf>
    <xf numFmtId="0" fontId="189" fillId="50" borderId="89" xfId="0" applyFont="1" applyFill="1" applyBorder="1" applyAlignment="1" applyProtection="1">
      <alignment horizontal="center" vertical="center" shrinkToFit="1"/>
      <protection locked="0"/>
    </xf>
    <xf numFmtId="0" fontId="189" fillId="50" borderId="18" xfId="0" applyFont="1" applyFill="1" applyBorder="1" applyAlignment="1" applyProtection="1">
      <alignment horizontal="center" vertical="center" shrinkToFit="1"/>
      <protection locked="0"/>
    </xf>
    <xf numFmtId="0" fontId="158" fillId="0" borderId="90" xfId="0" applyFont="1" applyBorder="1" applyAlignment="1">
      <alignment horizontal="center" vertical="center"/>
    </xf>
    <xf numFmtId="0" fontId="158" fillId="0" borderId="0" xfId="0" applyFont="1" applyBorder="1" applyAlignment="1">
      <alignment horizontal="center" vertical="center"/>
    </xf>
    <xf numFmtId="0" fontId="158" fillId="0" borderId="41" xfId="0" applyFont="1" applyBorder="1" applyAlignment="1">
      <alignment horizontal="center" vertical="center"/>
    </xf>
    <xf numFmtId="0" fontId="158" fillId="0" borderId="91" xfId="0" applyFont="1" applyBorder="1" applyAlignment="1">
      <alignment horizontal="center" vertical="center"/>
    </xf>
    <xf numFmtId="0" fontId="158" fillId="0" borderId="24" xfId="0" applyFont="1" applyBorder="1" applyAlignment="1">
      <alignment horizontal="center" vertical="center"/>
    </xf>
    <xf numFmtId="0" fontId="158" fillId="0" borderId="23" xfId="0" applyFont="1" applyBorder="1" applyAlignment="1">
      <alignment horizontal="center" vertical="center"/>
    </xf>
    <xf numFmtId="0" fontId="158" fillId="0" borderId="92" xfId="0" applyFont="1" applyBorder="1" applyAlignment="1">
      <alignment horizontal="center" vertical="center"/>
    </xf>
    <xf numFmtId="0" fontId="199" fillId="0" borderId="93" xfId="0" applyFont="1" applyBorder="1" applyAlignment="1" applyProtection="1">
      <alignment horizontal="left" vertical="center" shrinkToFit="1"/>
      <protection locked="0"/>
    </xf>
    <xf numFmtId="0" fontId="199" fillId="0" borderId="76" xfId="0" applyFont="1" applyBorder="1" applyAlignment="1" applyProtection="1">
      <alignment horizontal="left" vertical="center" shrinkToFit="1"/>
      <protection locked="0"/>
    </xf>
    <xf numFmtId="0" fontId="199" fillId="0" borderId="94" xfId="0" applyFont="1" applyBorder="1" applyAlignment="1" applyProtection="1">
      <alignment horizontal="left" vertical="center" shrinkToFit="1"/>
      <protection locked="0"/>
    </xf>
    <xf numFmtId="0" fontId="199" fillId="0" borderId="95" xfId="0" applyFont="1" applyBorder="1" applyAlignment="1" applyProtection="1">
      <alignment horizontal="left" vertical="center" shrinkToFit="1"/>
      <protection locked="0"/>
    </xf>
    <xf numFmtId="0" fontId="199" fillId="0" borderId="96" xfId="0" applyFont="1" applyBorder="1" applyAlignment="1" applyProtection="1">
      <alignment horizontal="left" vertical="center" shrinkToFit="1"/>
      <protection locked="0"/>
    </xf>
    <xf numFmtId="0" fontId="199" fillId="0" borderId="97" xfId="0" applyFont="1" applyBorder="1" applyAlignment="1" applyProtection="1">
      <alignment horizontal="left" vertical="center" shrinkToFit="1"/>
      <protection locked="0"/>
    </xf>
    <xf numFmtId="0" fontId="199" fillId="0" borderId="42" xfId="0" applyFont="1" applyBorder="1" applyAlignment="1" applyProtection="1">
      <alignment horizontal="left" vertical="center" shrinkToFit="1"/>
      <protection locked="0"/>
    </xf>
    <xf numFmtId="0" fontId="2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6" fillId="0" borderId="0" xfId="0" applyFont="1" applyAlignment="1">
      <alignment horizontal="center" vertical="center" wrapText="1"/>
    </xf>
    <xf numFmtId="0" fontId="193" fillId="56" borderId="98" xfId="0" applyFont="1" applyFill="1" applyBorder="1" applyAlignment="1">
      <alignment horizontal="center" vertical="center"/>
    </xf>
    <xf numFmtId="0" fontId="199" fillId="0" borderId="73" xfId="0" applyFont="1" applyBorder="1" applyAlignment="1" applyProtection="1">
      <alignment horizontal="left" vertical="center" shrinkToFit="1"/>
      <protection locked="0"/>
    </xf>
    <xf numFmtId="0" fontId="199" fillId="0" borderId="74" xfId="0" applyFont="1" applyBorder="1" applyAlignment="1" applyProtection="1">
      <alignment horizontal="left" vertical="center" shrinkToFit="1"/>
      <protection locked="0"/>
    </xf>
    <xf numFmtId="0" fontId="199" fillId="0" borderId="88" xfId="0" applyFont="1" applyBorder="1" applyAlignment="1" applyProtection="1">
      <alignment horizontal="left" vertical="center" wrapText="1" shrinkToFit="1"/>
      <protection locked="0"/>
    </xf>
    <xf numFmtId="0" fontId="199" fillId="0" borderId="73" xfId="0" applyFont="1" applyBorder="1" applyAlignment="1" applyProtection="1">
      <alignment horizontal="left" vertical="center" wrapText="1" shrinkToFit="1"/>
      <protection locked="0"/>
    </xf>
    <xf numFmtId="0" fontId="199" fillId="0" borderId="74" xfId="0" applyFont="1" applyBorder="1" applyAlignment="1" applyProtection="1">
      <alignment horizontal="left" vertical="center" wrapText="1" shrinkToFit="1"/>
      <protection locked="0"/>
    </xf>
    <xf numFmtId="0" fontId="199" fillId="0" borderId="44" xfId="0" applyFont="1" applyBorder="1" applyAlignment="1" applyProtection="1">
      <alignment horizontal="left" vertical="center" shrinkToFit="1"/>
      <protection/>
    </xf>
    <xf numFmtId="0" fontId="199" fillId="0" borderId="10" xfId="0" applyFont="1" applyBorder="1" applyAlignment="1" applyProtection="1">
      <alignment horizontal="left" vertical="center" shrinkToFit="1"/>
      <protection/>
    </xf>
    <xf numFmtId="0" fontId="199" fillId="0" borderId="51" xfId="0" applyFont="1" applyBorder="1" applyAlignment="1" applyProtection="1">
      <alignment horizontal="left" vertical="center" shrinkToFit="1"/>
      <protection/>
    </xf>
    <xf numFmtId="0" fontId="199" fillId="0" borderId="88" xfId="0" applyFont="1" applyBorder="1" applyAlignment="1" applyProtection="1">
      <alignment horizontal="left" vertical="center" shrinkToFit="1"/>
      <protection/>
    </xf>
    <xf numFmtId="0" fontId="199" fillId="0" borderId="73" xfId="0" applyFont="1" applyBorder="1" applyAlignment="1" applyProtection="1">
      <alignment horizontal="left" vertical="center" shrinkToFit="1"/>
      <protection/>
    </xf>
    <xf numFmtId="0" fontId="199" fillId="0" borderId="74" xfId="0" applyFont="1" applyBorder="1" applyAlignment="1" applyProtection="1">
      <alignment horizontal="left" vertical="center" shrinkToFit="1"/>
      <protection/>
    </xf>
    <xf numFmtId="0" fontId="0" fillId="0" borderId="88" xfId="0" applyFont="1" applyBorder="1" applyAlignment="1" applyProtection="1">
      <alignment horizontal="left" vertical="center" wrapText="1" shrinkToFit="1"/>
      <protection/>
    </xf>
    <xf numFmtId="0" fontId="0" fillId="0" borderId="73" xfId="0" applyFont="1" applyBorder="1" applyAlignment="1" applyProtection="1">
      <alignment horizontal="left" vertical="center" wrapText="1" shrinkToFit="1"/>
      <protection/>
    </xf>
    <xf numFmtId="0" fontId="0" fillId="0" borderId="74" xfId="0" applyFont="1" applyBorder="1" applyAlignment="1" applyProtection="1">
      <alignment horizontal="left" vertical="center" wrapText="1" shrinkToFit="1"/>
      <protection/>
    </xf>
    <xf numFmtId="0" fontId="199" fillId="0" borderId="88" xfId="0" applyFont="1" applyBorder="1" applyAlignment="1" applyProtection="1">
      <alignment horizontal="left" vertical="center" wrapText="1" shrinkToFit="1"/>
      <protection/>
    </xf>
    <xf numFmtId="0" fontId="199" fillId="0" borderId="73" xfId="0" applyFont="1" applyBorder="1" applyAlignment="1" applyProtection="1">
      <alignment horizontal="left" vertical="center" wrapText="1" shrinkToFit="1"/>
      <protection/>
    </xf>
    <xf numFmtId="0" fontId="199" fillId="0" borderId="74" xfId="0" applyFont="1" applyBorder="1" applyAlignment="1" applyProtection="1">
      <alignment horizontal="left" vertical="center" wrapText="1" shrinkToFit="1"/>
      <protection/>
    </xf>
    <xf numFmtId="0" fontId="195" fillId="24" borderId="17" xfId="0" applyFont="1" applyFill="1" applyBorder="1" applyAlignment="1">
      <alignment horizontal="center" vertical="top" wrapText="1"/>
    </xf>
    <xf numFmtId="0" fontId="195" fillId="4" borderId="17" xfId="0" applyFont="1" applyFill="1" applyBorder="1" applyAlignment="1">
      <alignment horizontal="center" vertical="top" wrapText="1"/>
    </xf>
    <xf numFmtId="0" fontId="195" fillId="22" borderId="17" xfId="0" applyFont="1" applyFill="1" applyBorder="1" applyAlignment="1">
      <alignment horizontal="center" vertical="top" wrapText="1"/>
    </xf>
    <xf numFmtId="0" fontId="225" fillId="0" borderId="0" xfId="0" applyFont="1" applyBorder="1" applyAlignment="1">
      <alignment horizontal="center" vertical="center" wrapText="1"/>
    </xf>
    <xf numFmtId="0" fontId="195" fillId="11" borderId="17" xfId="0" applyFont="1" applyFill="1" applyBorder="1" applyAlignment="1">
      <alignment horizontal="center" vertical="top" wrapText="1"/>
    </xf>
    <xf numFmtId="0" fontId="194" fillId="23" borderId="17" xfId="0" applyFont="1" applyFill="1" applyBorder="1" applyAlignment="1">
      <alignment horizontal="center" vertical="top" wrapText="1"/>
    </xf>
    <xf numFmtId="0" fontId="194" fillId="33" borderId="17" xfId="0" applyFont="1" applyFill="1" applyBorder="1" applyAlignment="1">
      <alignment horizontal="center" vertical="top" wrapText="1"/>
    </xf>
    <xf numFmtId="0" fontId="194" fillId="23" borderId="28" xfId="0" applyFont="1" applyFill="1" applyBorder="1" applyAlignment="1">
      <alignment horizontal="center" vertical="top" wrapText="1"/>
    </xf>
    <xf numFmtId="0" fontId="194" fillId="23" borderId="99" xfId="0" applyFont="1" applyFill="1" applyBorder="1" applyAlignment="1">
      <alignment horizontal="center" vertical="top" wrapText="1"/>
    </xf>
    <xf numFmtId="0" fontId="194" fillId="23" borderId="22" xfId="0" applyFont="1" applyFill="1" applyBorder="1" applyAlignment="1">
      <alignment horizontal="center" vertical="top" wrapText="1"/>
    </xf>
    <xf numFmtId="0" fontId="193" fillId="56" borderId="100" xfId="0" applyFont="1" applyFill="1" applyBorder="1" applyAlignment="1">
      <alignment horizontal="center" vertical="center"/>
    </xf>
    <xf numFmtId="0" fontId="236" fillId="35" borderId="17" xfId="0" applyFont="1" applyFill="1" applyBorder="1" applyAlignment="1">
      <alignment horizontal="center" vertical="top" wrapText="1"/>
    </xf>
    <xf numFmtId="0" fontId="236" fillId="39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18" fillId="0" borderId="15" xfId="0" applyFont="1" applyFill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18" fillId="0" borderId="16" xfId="0" applyFont="1" applyFill="1" applyBorder="1" applyAlignment="1">
      <alignment horizontal="justify" vertical="center" wrapText="1"/>
    </xf>
    <xf numFmtId="0" fontId="190" fillId="0" borderId="15" xfId="0" applyNumberFormat="1" applyFont="1" applyFill="1" applyBorder="1" applyAlignment="1">
      <alignment horizontal="center" vertical="center"/>
    </xf>
    <xf numFmtId="0" fontId="190" fillId="0" borderId="16" xfId="0" applyNumberFormat="1" applyFont="1" applyFill="1" applyBorder="1" applyAlignment="1">
      <alignment horizontal="center" vertical="center"/>
    </xf>
    <xf numFmtId="0" fontId="237" fillId="59" borderId="23" xfId="0" applyFont="1" applyFill="1" applyBorder="1" applyAlignment="1">
      <alignment horizontal="justify" vertical="top" wrapText="1"/>
    </xf>
    <xf numFmtId="0" fontId="238" fillId="0" borderId="15" xfId="0" applyFont="1" applyBorder="1" applyAlignment="1">
      <alignment horizontal="center" vertical="center"/>
    </xf>
    <xf numFmtId="0" fontId="238" fillId="0" borderId="14" xfId="0" applyFont="1" applyBorder="1" applyAlignment="1">
      <alignment horizontal="center" vertical="center"/>
    </xf>
    <xf numFmtId="0" fontId="238" fillId="0" borderId="16" xfId="0" applyFont="1" applyBorder="1" applyAlignment="1">
      <alignment horizontal="center" vertical="center"/>
    </xf>
    <xf numFmtId="0" fontId="220" fillId="0" borderId="0" xfId="0" applyFont="1" applyAlignment="1" applyProtection="1">
      <alignment horizontal="center" vertical="center" wrapText="1"/>
      <protection/>
    </xf>
    <xf numFmtId="0" fontId="220" fillId="0" borderId="0" xfId="0" applyFont="1" applyBorder="1" applyAlignment="1" applyProtection="1">
      <alignment horizontal="center" vertical="center" wrapText="1"/>
      <protection/>
    </xf>
    <xf numFmtId="0" fontId="221" fillId="0" borderId="0" xfId="0" applyFont="1" applyBorder="1" applyAlignment="1">
      <alignment horizontal="center" vertical="center"/>
    </xf>
    <xf numFmtId="0" fontId="181" fillId="50" borderId="17" xfId="0" applyFont="1" applyFill="1" applyBorder="1" applyAlignment="1">
      <alignment horizontal="center" vertical="center" textRotation="90" wrapText="1"/>
    </xf>
    <xf numFmtId="0" fontId="0" fillId="59" borderId="17" xfId="0" applyFill="1" applyBorder="1" applyAlignment="1">
      <alignment horizontal="center" vertical="center" textRotation="90" wrapText="1"/>
    </xf>
    <xf numFmtId="0" fontId="222" fillId="0" borderId="0" xfId="0" applyFont="1" applyBorder="1" applyAlignment="1" applyProtection="1">
      <alignment horizontal="center" vertical="center"/>
      <protection/>
    </xf>
    <xf numFmtId="0" fontId="0" fillId="23" borderId="17" xfId="0" applyFill="1" applyBorder="1" applyAlignment="1">
      <alignment horizontal="center" vertical="center" textRotation="90" wrapText="1"/>
    </xf>
    <xf numFmtId="0" fontId="149" fillId="24" borderId="17" xfId="0" applyFont="1" applyFill="1" applyBorder="1" applyAlignment="1">
      <alignment horizontal="center" vertical="center" textRotation="90" wrapText="1"/>
    </xf>
    <xf numFmtId="0" fontId="176" fillId="22" borderId="17" xfId="0" applyFont="1" applyFill="1" applyBorder="1" applyAlignment="1">
      <alignment horizontal="center" vertical="center" textRotation="90" wrapText="1"/>
    </xf>
    <xf numFmtId="0" fontId="176" fillId="25" borderId="17" xfId="0" applyFont="1" applyFill="1" applyBorder="1" applyAlignment="1">
      <alignment horizontal="center" vertical="center" textRotation="90" wrapText="1"/>
    </xf>
    <xf numFmtId="0" fontId="221" fillId="0" borderId="0" xfId="0" applyFont="1" applyAlignment="1">
      <alignment horizontal="center"/>
    </xf>
    <xf numFmtId="0" fontId="222" fillId="0" borderId="0" xfId="0" applyFont="1" applyAlignment="1" applyProtection="1">
      <alignment horizontal="center"/>
      <protection/>
    </xf>
    <xf numFmtId="0" fontId="190" fillId="0" borderId="15" xfId="0" applyNumberFormat="1" applyFont="1" applyFill="1" applyBorder="1" applyAlignment="1">
      <alignment horizontal="center" vertical="top"/>
    </xf>
    <xf numFmtId="0" fontId="190" fillId="0" borderId="16" xfId="0" applyNumberFormat="1" applyFont="1" applyFill="1" applyBorder="1" applyAlignment="1">
      <alignment horizontal="center" vertical="top"/>
    </xf>
    <xf numFmtId="2" fontId="190" fillId="0" borderId="43" xfId="0" applyNumberFormat="1" applyFont="1" applyFill="1" applyBorder="1" applyAlignment="1">
      <alignment horizontal="center" vertical="center"/>
    </xf>
    <xf numFmtId="2" fontId="190" fillId="0" borderId="41" xfId="0" applyNumberFormat="1" applyFont="1" applyFill="1" applyBorder="1" applyAlignment="1">
      <alignment horizontal="center" vertical="center"/>
    </xf>
    <xf numFmtId="2" fontId="190" fillId="0" borderId="4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2" fontId="190" fillId="0" borderId="24" xfId="0" applyNumberFormat="1" applyFont="1" applyFill="1" applyBorder="1" applyAlignment="1">
      <alignment horizontal="center" vertical="center"/>
    </xf>
    <xf numFmtId="2" fontId="190" fillId="0" borderId="23" xfId="0" applyNumberFormat="1" applyFont="1" applyFill="1" applyBorder="1" applyAlignment="1">
      <alignment horizontal="center" vertical="center"/>
    </xf>
    <xf numFmtId="2" fontId="190" fillId="0" borderId="18" xfId="0" applyNumberFormat="1" applyFont="1" applyFill="1" applyBorder="1" applyAlignment="1">
      <alignment horizontal="center" vertical="center"/>
    </xf>
    <xf numFmtId="0" fontId="239" fillId="59" borderId="23" xfId="0" applyFont="1" applyFill="1" applyBorder="1" applyAlignment="1">
      <alignment horizontal="justify" vertical="center" wrapText="1"/>
    </xf>
    <xf numFmtId="0" fontId="159" fillId="39" borderId="16" xfId="0" applyFont="1" applyFill="1" applyBorder="1" applyAlignment="1" applyProtection="1">
      <alignment horizontal="center" vertical="center" shrinkToFit="1"/>
      <protection locked="0"/>
    </xf>
    <xf numFmtId="0" fontId="159" fillId="35" borderId="16" xfId="0" applyFont="1" applyFill="1" applyBorder="1" applyAlignment="1" applyProtection="1">
      <alignment horizontal="center" vertical="center" shrinkToFit="1"/>
      <protection locked="0"/>
    </xf>
    <xf numFmtId="0" fontId="229" fillId="34" borderId="16" xfId="0" applyFont="1" applyFill="1" applyBorder="1" applyAlignment="1" applyProtection="1">
      <alignment horizontal="center" vertical="center" shrinkToFit="1"/>
      <protection locked="0"/>
    </xf>
    <xf numFmtId="0" fontId="229" fillId="34" borderId="101" xfId="0" applyFont="1" applyFill="1" applyBorder="1" applyAlignment="1" applyProtection="1">
      <alignment horizontal="center" vertical="center" shrinkToFit="1"/>
      <protection locked="0"/>
    </xf>
    <xf numFmtId="0" fontId="230" fillId="35" borderId="16" xfId="0" applyFont="1" applyFill="1" applyBorder="1" applyAlignment="1" applyProtection="1">
      <alignment horizontal="center" vertical="center" shrinkToFit="1"/>
      <protection locked="0"/>
    </xf>
    <xf numFmtId="0" fontId="229" fillId="37" borderId="16" xfId="0" applyFont="1" applyFill="1" applyBorder="1" applyAlignment="1" applyProtection="1">
      <alignment horizontal="center" vertical="center" shrinkToFit="1"/>
      <protection locked="0"/>
    </xf>
    <xf numFmtId="0" fontId="182" fillId="53" borderId="16" xfId="0" applyFont="1" applyFill="1" applyBorder="1" applyAlignment="1" applyProtection="1">
      <alignment horizontal="center" vertical="center" shrinkToFit="1"/>
      <protection locked="0"/>
    </xf>
    <xf numFmtId="0" fontId="182" fillId="49" borderId="16" xfId="0" applyFont="1" applyFill="1" applyBorder="1" applyAlignment="1" applyProtection="1">
      <alignment horizontal="center" vertical="center" shrinkToFit="1"/>
      <protection locked="0"/>
    </xf>
    <xf numFmtId="0" fontId="170" fillId="13" borderId="16" xfId="0" applyFont="1" applyFill="1" applyBorder="1" applyAlignment="1" applyProtection="1">
      <alignment horizontal="center" vertical="center" shrinkToFit="1"/>
      <protection locked="0"/>
    </xf>
    <xf numFmtId="0" fontId="176" fillId="0" borderId="88" xfId="0" applyFont="1" applyBorder="1" applyAlignment="1" applyProtection="1">
      <alignment horizontal="left" vertical="center" wrapText="1" shrinkToFit="1"/>
      <protection/>
    </xf>
    <xf numFmtId="0" fontId="176" fillId="0" borderId="73" xfId="0" applyFont="1" applyBorder="1" applyAlignment="1" applyProtection="1">
      <alignment horizontal="left" vertical="center" wrapText="1" shrinkToFit="1"/>
      <protection/>
    </xf>
    <xf numFmtId="0" fontId="176" fillId="0" borderId="74" xfId="0" applyFont="1" applyBorder="1" applyAlignment="1" applyProtection="1">
      <alignment horizontal="left" vertical="center" wrapText="1" shrinkToFit="1"/>
      <protection/>
    </xf>
    <xf numFmtId="0" fontId="195" fillId="13" borderId="28" xfId="0" applyFont="1" applyFill="1" applyBorder="1" applyAlignment="1">
      <alignment horizontal="center" vertical="top" wrapText="1"/>
    </xf>
    <xf numFmtId="0" fontId="195" fillId="13" borderId="99" xfId="0" applyFont="1" applyFill="1" applyBorder="1" applyAlignment="1">
      <alignment horizontal="center" vertical="top" wrapText="1"/>
    </xf>
    <xf numFmtId="0" fontId="195" fillId="13" borderId="22" xfId="0" applyFont="1" applyFill="1" applyBorder="1" applyAlignment="1">
      <alignment horizontal="center" vertical="top" wrapText="1"/>
    </xf>
    <xf numFmtId="0" fontId="170" fillId="7" borderId="16" xfId="0" applyFont="1" applyFill="1" applyBorder="1" applyAlignment="1" applyProtection="1">
      <alignment horizontal="center" vertical="center" shrinkToFit="1"/>
      <protection locked="0"/>
    </xf>
    <xf numFmtId="0" fontId="195" fillId="25" borderId="28" xfId="0" applyFont="1" applyFill="1" applyBorder="1" applyAlignment="1">
      <alignment horizontal="center" vertical="top" wrapText="1"/>
    </xf>
    <xf numFmtId="0" fontId="195" fillId="25" borderId="99" xfId="0" applyFont="1" applyFill="1" applyBorder="1" applyAlignment="1">
      <alignment horizontal="center" vertical="top" wrapText="1"/>
    </xf>
    <xf numFmtId="0" fontId="195" fillId="25" borderId="22" xfId="0" applyFont="1" applyFill="1" applyBorder="1" applyAlignment="1">
      <alignment horizontal="center" vertical="top" wrapText="1"/>
    </xf>
    <xf numFmtId="0" fontId="170" fillId="4" borderId="16" xfId="0" applyFont="1" applyFill="1" applyBorder="1" applyAlignment="1" applyProtection="1">
      <alignment horizontal="center" vertical="center" shrinkToFit="1"/>
      <protection locked="0"/>
    </xf>
    <xf numFmtId="0" fontId="240" fillId="0" borderId="88" xfId="0" applyFont="1" applyBorder="1" applyAlignment="1" applyProtection="1">
      <alignment horizontal="left" vertical="center" wrapText="1" shrinkToFit="1"/>
      <protection locked="0"/>
    </xf>
    <xf numFmtId="0" fontId="240" fillId="0" borderId="73" xfId="0" applyFont="1" applyBorder="1" applyAlignment="1" applyProtection="1">
      <alignment horizontal="left" vertical="center" wrapText="1" shrinkToFit="1"/>
      <protection locked="0"/>
    </xf>
    <xf numFmtId="0" fontId="240" fillId="0" borderId="74" xfId="0" applyFont="1" applyBorder="1" applyAlignment="1" applyProtection="1">
      <alignment horizontal="left" vertical="center" wrapText="1" shrinkToFit="1"/>
      <protection locked="0"/>
    </xf>
    <xf numFmtId="0" fontId="170" fillId="10" borderId="16" xfId="0" applyFont="1" applyFill="1" applyBorder="1" applyAlignment="1" applyProtection="1">
      <alignment horizontal="center" vertical="center" shrinkToFit="1"/>
      <protection locked="0"/>
    </xf>
    <xf numFmtId="0" fontId="170" fillId="6" borderId="16" xfId="0" applyFont="1" applyFill="1" applyBorder="1" applyAlignment="1" applyProtection="1">
      <alignment horizontal="center" vertical="center" shrinkToFit="1"/>
      <protection locked="0"/>
    </xf>
    <xf numFmtId="0" fontId="154" fillId="12" borderId="16" xfId="0" applyFont="1" applyFill="1" applyBorder="1" applyAlignment="1" applyProtection="1">
      <alignment horizontal="center" vertical="center" shrinkToFit="1"/>
      <protection locked="0"/>
    </xf>
    <xf numFmtId="0" fontId="199" fillId="0" borderId="77" xfId="0" applyFont="1" applyBorder="1" applyAlignment="1" applyProtection="1">
      <alignment horizontal="left" vertical="center" shrinkToFit="1"/>
      <protection locked="0"/>
    </xf>
    <xf numFmtId="0" fontId="199" fillId="0" borderId="102" xfId="0" applyFont="1" applyBorder="1" applyAlignment="1" applyProtection="1">
      <alignment horizontal="left" vertical="center" shrinkToFit="1"/>
      <protection locked="0"/>
    </xf>
    <xf numFmtId="0" fontId="199" fillId="0" borderId="71" xfId="0" applyFont="1" applyBorder="1" applyAlignment="1" applyProtection="1">
      <alignment horizontal="left" vertical="center" shrinkToFit="1"/>
      <protection locked="0"/>
    </xf>
    <xf numFmtId="0" fontId="199" fillId="0" borderId="72" xfId="0" applyFont="1" applyBorder="1" applyAlignment="1" applyProtection="1">
      <alignment horizontal="left" vertical="center" shrinkToFit="1"/>
      <protection locked="0"/>
    </xf>
    <xf numFmtId="0" fontId="199" fillId="0" borderId="103" xfId="0" applyFont="1" applyBorder="1" applyAlignment="1" applyProtection="1">
      <alignment horizontal="left" vertical="center" shrinkToFit="1"/>
      <protection locked="0"/>
    </xf>
    <xf numFmtId="0" fontId="170" fillId="17" borderId="16" xfId="0" applyFont="1" applyFill="1" applyBorder="1" applyAlignment="1" applyProtection="1">
      <alignment horizontal="center" vertical="center" shrinkToFit="1"/>
      <protection locked="0"/>
    </xf>
    <xf numFmtId="0" fontId="195" fillId="5" borderId="22" xfId="0" applyFont="1" applyFill="1" applyBorder="1" applyAlignment="1">
      <alignment horizontal="center" vertical="top" wrapText="1"/>
    </xf>
    <xf numFmtId="2" fontId="158" fillId="11" borderId="25" xfId="0" applyNumberFormat="1" applyFont="1" applyFill="1" applyBorder="1" applyAlignment="1">
      <alignment horizontal="center" vertical="center" shrinkToFit="1"/>
    </xf>
    <xf numFmtId="0" fontId="170" fillId="11" borderId="16" xfId="0" applyFont="1" applyFill="1" applyBorder="1" applyAlignment="1" applyProtection="1">
      <alignment horizontal="center" vertical="center" shrinkToFit="1"/>
      <protection locked="0"/>
    </xf>
    <xf numFmtId="0" fontId="158" fillId="0" borderId="43" xfId="0" applyFont="1" applyBorder="1" applyAlignment="1">
      <alignment horizontal="center" vertical="center"/>
    </xf>
    <xf numFmtId="0" fontId="0" fillId="58" borderId="104" xfId="0" applyFill="1" applyBorder="1" applyAlignment="1">
      <alignment horizontal="center" vertical="center" wrapText="1"/>
    </xf>
    <xf numFmtId="0" fontId="0" fillId="58" borderId="41" xfId="0" applyFill="1" applyBorder="1" applyAlignment="1">
      <alignment horizontal="center" vertical="center" wrapText="1"/>
    </xf>
    <xf numFmtId="0" fontId="0" fillId="58" borderId="42" xfId="0" applyFill="1" applyBorder="1" applyAlignment="1">
      <alignment horizontal="center" vertical="center" wrapText="1"/>
    </xf>
    <xf numFmtId="0" fontId="0" fillId="58" borderId="105" xfId="0" applyFill="1" applyBorder="1" applyAlignment="1">
      <alignment horizontal="center" vertical="center" wrapText="1"/>
    </xf>
    <xf numFmtId="0" fontId="0" fillId="58" borderId="0" xfId="0" applyFill="1" applyBorder="1" applyAlignment="1">
      <alignment horizontal="center" vertical="center" wrapText="1"/>
    </xf>
    <xf numFmtId="0" fontId="0" fillId="58" borderId="89" xfId="0" applyFill="1" applyBorder="1" applyAlignment="1">
      <alignment horizontal="center" vertical="center" wrapText="1"/>
    </xf>
    <xf numFmtId="0" fontId="241" fillId="45" borderId="106" xfId="0" applyFont="1" applyFill="1" applyBorder="1" applyAlignment="1">
      <alignment horizontal="center" vertical="center" wrapText="1"/>
    </xf>
    <xf numFmtId="0" fontId="241" fillId="45" borderId="107" xfId="0" applyFont="1" applyFill="1" applyBorder="1" applyAlignment="1">
      <alignment horizontal="center" vertical="center" wrapText="1"/>
    </xf>
    <xf numFmtId="0" fontId="242" fillId="50" borderId="105" xfId="0" applyFont="1" applyFill="1" applyBorder="1" applyAlignment="1">
      <alignment horizontal="center" vertical="center" wrapText="1"/>
    </xf>
    <xf numFmtId="0" fontId="243" fillId="50" borderId="105" xfId="0" applyFont="1" applyFill="1" applyBorder="1" applyAlignment="1">
      <alignment horizontal="center" vertical="center" wrapText="1"/>
    </xf>
    <xf numFmtId="0" fontId="226" fillId="56" borderId="108" xfId="0" applyFont="1" applyFill="1" applyBorder="1" applyAlignment="1">
      <alignment horizontal="center" vertical="center"/>
    </xf>
    <xf numFmtId="0" fontId="226" fillId="56" borderId="109" xfId="0" applyFont="1" applyFill="1" applyBorder="1" applyAlignment="1">
      <alignment horizontal="center" vertical="center"/>
    </xf>
    <xf numFmtId="0" fontId="227" fillId="56" borderId="110" xfId="0" applyFont="1" applyFill="1" applyBorder="1" applyAlignment="1">
      <alignment horizontal="center" vertical="center" shrinkToFit="1"/>
    </xf>
    <xf numFmtId="0" fontId="227" fillId="56" borderId="111" xfId="0" applyFont="1" applyFill="1" applyBorder="1" applyAlignment="1">
      <alignment horizontal="center" vertical="center" shrinkToFit="1"/>
    </xf>
    <xf numFmtId="0" fontId="231" fillId="56" borderId="112" xfId="0" applyFont="1" applyFill="1" applyBorder="1" applyAlignment="1">
      <alignment horizontal="center" vertical="center" wrapText="1"/>
    </xf>
    <xf numFmtId="0" fontId="231" fillId="56" borderId="113" xfId="0" applyFont="1" applyFill="1" applyBorder="1" applyAlignment="1">
      <alignment horizontal="center" vertical="center" wrapText="1"/>
    </xf>
    <xf numFmtId="0" fontId="226" fillId="56" borderId="114" xfId="0" applyFont="1" applyFill="1" applyBorder="1" applyAlignment="1">
      <alignment horizontal="center" vertical="center" wrapText="1"/>
    </xf>
    <xf numFmtId="0" fontId="226" fillId="56" borderId="115" xfId="0" applyFont="1" applyFill="1" applyBorder="1" applyAlignment="1">
      <alignment horizontal="center" vertical="center" wrapText="1"/>
    </xf>
    <xf numFmtId="0" fontId="226" fillId="56" borderId="114" xfId="0" applyFont="1" applyFill="1" applyBorder="1" applyAlignment="1">
      <alignment horizontal="center" vertical="top" wrapText="1"/>
    </xf>
    <xf numFmtId="0" fontId="226" fillId="56" borderId="115" xfId="0" applyFont="1" applyFill="1" applyBorder="1" applyAlignment="1">
      <alignment horizontal="center" vertical="top" wrapText="1"/>
    </xf>
    <xf numFmtId="0" fontId="226" fillId="56" borderId="116" xfId="0" applyFont="1" applyFill="1" applyBorder="1" applyAlignment="1">
      <alignment horizontal="center" vertical="center" wrapText="1"/>
    </xf>
    <xf numFmtId="0" fontId="226" fillId="56" borderId="117" xfId="0" applyFont="1" applyFill="1" applyBorder="1" applyAlignment="1">
      <alignment horizontal="center" vertical="center" wrapText="1"/>
    </xf>
    <xf numFmtId="0" fontId="232" fillId="62" borderId="118" xfId="0" applyFont="1" applyFill="1" applyBorder="1" applyAlignment="1">
      <alignment horizontal="center" vertical="center" shrinkToFit="1"/>
    </xf>
    <xf numFmtId="0" fontId="232" fillId="62" borderId="119" xfId="0" applyFont="1" applyFill="1" applyBorder="1" applyAlignment="1">
      <alignment horizontal="center" vertical="center" shrinkToFit="1"/>
    </xf>
    <xf numFmtId="0" fontId="232" fillId="62" borderId="120" xfId="0" applyFont="1" applyFill="1" applyBorder="1" applyAlignment="1">
      <alignment horizontal="center" vertical="center" shrinkToFit="1"/>
    </xf>
    <xf numFmtId="0" fontId="232" fillId="62" borderId="121" xfId="0" applyFont="1" applyFill="1" applyBorder="1" applyAlignment="1">
      <alignment horizontal="center" vertical="center" shrinkToFit="1"/>
    </xf>
    <xf numFmtId="0" fontId="228" fillId="56" borderId="119" xfId="0" applyFont="1" applyFill="1" applyBorder="1" applyAlignment="1">
      <alignment horizontal="center" vertical="center" wrapText="1"/>
    </xf>
    <xf numFmtId="0" fontId="228" fillId="56" borderId="121" xfId="0" applyFont="1" applyFill="1" applyBorder="1" applyAlignment="1">
      <alignment horizontal="center" vertical="center" wrapText="1"/>
    </xf>
    <xf numFmtId="0" fontId="209" fillId="39" borderId="0" xfId="0" applyFont="1" applyFill="1" applyBorder="1" applyAlignment="1">
      <alignment horizontal="center" vertical="center"/>
    </xf>
    <xf numFmtId="0" fontId="177" fillId="0" borderId="122" xfId="0" applyFont="1" applyBorder="1" applyAlignment="1" applyProtection="1">
      <alignment horizontal="center" vertical="center" wrapText="1"/>
      <protection/>
    </xf>
    <xf numFmtId="0" fontId="177" fillId="0" borderId="123" xfId="0" applyFont="1" applyBorder="1" applyAlignment="1" applyProtection="1">
      <alignment horizontal="center" vertical="center" wrapText="1"/>
      <protection/>
    </xf>
    <xf numFmtId="0" fontId="189" fillId="50" borderId="28" xfId="0" applyFont="1" applyFill="1" applyBorder="1" applyAlignment="1" applyProtection="1">
      <alignment horizontal="center" vertical="center" shrinkToFit="1"/>
      <protection locked="0"/>
    </xf>
    <xf numFmtId="0" fontId="189" fillId="50" borderId="99" xfId="0" applyFont="1" applyFill="1" applyBorder="1" applyAlignment="1" applyProtection="1">
      <alignment horizontal="center" vertical="center" shrinkToFit="1"/>
      <protection locked="0"/>
    </xf>
    <xf numFmtId="0" fontId="189" fillId="50" borderId="22" xfId="0" applyFont="1" applyFill="1" applyBorder="1" applyAlignment="1" applyProtection="1">
      <alignment horizontal="center" vertical="center" shrinkToFit="1"/>
      <protection locked="0"/>
    </xf>
    <xf numFmtId="0" fontId="210" fillId="39" borderId="0" xfId="0" applyFont="1" applyFill="1" applyBorder="1" applyAlignment="1">
      <alignment horizontal="center" vertical="center"/>
    </xf>
    <xf numFmtId="0" fontId="211" fillId="39" borderId="0" xfId="0" applyFont="1" applyFill="1" applyBorder="1" applyAlignment="1">
      <alignment horizontal="center" vertical="center"/>
    </xf>
    <xf numFmtId="0" fontId="211" fillId="39" borderId="124" xfId="0" applyFont="1" applyFill="1" applyBorder="1" applyAlignment="1">
      <alignment horizontal="center" vertical="center"/>
    </xf>
    <xf numFmtId="0" fontId="158" fillId="0" borderId="0" xfId="0" applyFont="1" applyBorder="1" applyAlignment="1" applyProtection="1">
      <alignment horizontal="center" vertical="center" wrapText="1"/>
      <protection/>
    </xf>
    <xf numFmtId="0" fontId="176" fillId="59" borderId="17" xfId="0" applyFont="1" applyFill="1" applyBorder="1" applyAlignment="1">
      <alignment horizontal="center" vertical="top" wrapText="1"/>
    </xf>
    <xf numFmtId="0" fontId="212" fillId="35" borderId="17" xfId="0" applyFont="1" applyFill="1" applyBorder="1" applyAlignment="1">
      <alignment horizontal="center" vertical="top" wrapText="1"/>
    </xf>
    <xf numFmtId="0" fontId="176" fillId="34" borderId="17" xfId="0" applyFont="1" applyFill="1" applyBorder="1" applyAlignment="1">
      <alignment horizontal="center" vertical="top" wrapText="1"/>
    </xf>
    <xf numFmtId="0" fontId="212" fillId="39" borderId="17" xfId="0" applyFont="1" applyFill="1" applyBorder="1" applyAlignment="1">
      <alignment horizontal="center" vertical="top" wrapText="1"/>
    </xf>
    <xf numFmtId="0" fontId="176" fillId="37" borderId="17" xfId="0" applyFont="1" applyFill="1" applyBorder="1" applyAlignment="1">
      <alignment horizontal="center" vertical="top" wrapText="1"/>
    </xf>
    <xf numFmtId="0" fontId="181" fillId="50" borderId="17" xfId="0" applyFont="1" applyFill="1" applyBorder="1" applyAlignment="1">
      <alignment horizontal="center" vertical="top" wrapText="1"/>
    </xf>
    <xf numFmtId="0" fontId="181" fillId="53" borderId="17" xfId="0" applyFont="1" applyFill="1" applyBorder="1" applyAlignment="1">
      <alignment horizontal="center" vertical="top" wrapText="1"/>
    </xf>
    <xf numFmtId="0" fontId="176" fillId="25" borderId="17" xfId="0" applyFont="1" applyFill="1" applyBorder="1" applyAlignment="1">
      <alignment horizontal="center" vertical="top" wrapText="1"/>
    </xf>
    <xf numFmtId="0" fontId="176" fillId="13" borderId="17" xfId="0" applyFont="1" applyFill="1" applyBorder="1" applyAlignment="1">
      <alignment horizontal="center" vertical="top" wrapText="1"/>
    </xf>
    <xf numFmtId="0" fontId="176" fillId="13" borderId="28" xfId="0" applyFont="1" applyFill="1" applyBorder="1" applyAlignment="1">
      <alignment horizontal="center" vertical="top" wrapText="1"/>
    </xf>
    <xf numFmtId="0" fontId="176" fillId="13" borderId="99" xfId="0" applyFont="1" applyFill="1" applyBorder="1" applyAlignment="1">
      <alignment horizontal="center" vertical="top" wrapText="1"/>
    </xf>
    <xf numFmtId="0" fontId="176" fillId="13" borderId="22" xfId="0" applyFont="1" applyFill="1" applyBorder="1" applyAlignment="1">
      <alignment horizontal="center" vertical="top" wrapText="1"/>
    </xf>
    <xf numFmtId="0" fontId="176" fillId="25" borderId="28" xfId="0" applyFont="1" applyFill="1" applyBorder="1" applyAlignment="1">
      <alignment horizontal="center" vertical="top" wrapText="1"/>
    </xf>
    <xf numFmtId="0" fontId="176" fillId="25" borderId="99" xfId="0" applyFont="1" applyFill="1" applyBorder="1" applyAlignment="1">
      <alignment horizontal="center" vertical="top" wrapText="1"/>
    </xf>
    <xf numFmtId="0" fontId="176" fillId="25" borderId="22" xfId="0" applyFont="1" applyFill="1" applyBorder="1" applyAlignment="1">
      <alignment horizontal="center" vertical="top" wrapText="1"/>
    </xf>
    <xf numFmtId="0" fontId="176" fillId="7" borderId="17" xfId="0" applyFont="1" applyFill="1" applyBorder="1" applyAlignment="1">
      <alignment horizontal="center" vertical="top" wrapText="1"/>
    </xf>
    <xf numFmtId="0" fontId="176" fillId="10" borderId="17" xfId="0" applyFont="1" applyFill="1" applyBorder="1" applyAlignment="1">
      <alignment horizontal="center" vertical="top" wrapText="1"/>
    </xf>
    <xf numFmtId="0" fontId="176" fillId="22" borderId="17" xfId="0" applyFont="1" applyFill="1" applyBorder="1" applyAlignment="1">
      <alignment horizontal="center" vertical="top" wrapText="1"/>
    </xf>
    <xf numFmtId="0" fontId="176" fillId="4" borderId="17" xfId="0" applyFont="1" applyFill="1" applyBorder="1" applyAlignment="1">
      <alignment horizontal="center" vertical="top" wrapText="1"/>
    </xf>
    <xf numFmtId="0" fontId="176" fillId="24" borderId="17" xfId="0" applyFont="1" applyFill="1" applyBorder="1" applyAlignment="1">
      <alignment horizontal="center" vertical="top" wrapText="1"/>
    </xf>
    <xf numFmtId="0" fontId="176" fillId="6" borderId="17" xfId="0" applyFont="1" applyFill="1" applyBorder="1" applyAlignment="1">
      <alignment horizontal="center" vertical="top" wrapText="1"/>
    </xf>
    <xf numFmtId="0" fontId="176" fillId="12" borderId="17" xfId="0" applyFont="1" applyFill="1" applyBorder="1" applyAlignment="1">
      <alignment horizontal="center" vertical="top" wrapText="1"/>
    </xf>
    <xf numFmtId="0" fontId="181" fillId="36" borderId="17" xfId="0" applyFont="1" applyFill="1" applyBorder="1" applyAlignment="1">
      <alignment horizontal="center" vertical="top" wrapText="1"/>
    </xf>
    <xf numFmtId="0" fontId="181" fillId="33" borderId="17" xfId="0" applyFont="1" applyFill="1" applyBorder="1" applyAlignment="1">
      <alignment horizontal="center" vertical="top" wrapText="1"/>
    </xf>
    <xf numFmtId="0" fontId="181" fillId="23" borderId="17" xfId="0" applyFont="1" applyFill="1" applyBorder="1" applyAlignment="1">
      <alignment horizontal="center" vertical="top" wrapText="1"/>
    </xf>
    <xf numFmtId="0" fontId="176" fillId="11" borderId="17" xfId="0" applyFont="1" applyFill="1" applyBorder="1" applyAlignment="1">
      <alignment horizontal="center" vertical="top" wrapText="1"/>
    </xf>
    <xf numFmtId="0" fontId="176" fillId="17" borderId="17" xfId="0" applyFont="1" applyFill="1" applyBorder="1" applyAlignment="1">
      <alignment horizontal="center" vertical="top" wrapText="1"/>
    </xf>
    <xf numFmtId="0" fontId="225" fillId="0" borderId="125" xfId="0" applyFont="1" applyBorder="1" applyAlignment="1">
      <alignment horizontal="center" vertical="center" wrapText="1"/>
    </xf>
    <xf numFmtId="0" fontId="181" fillId="23" borderId="22" xfId="0" applyFont="1" applyFill="1" applyBorder="1" applyAlignment="1">
      <alignment horizontal="center" vertical="top" wrapText="1"/>
    </xf>
    <xf numFmtId="0" fontId="176" fillId="5" borderId="22" xfId="0" applyFont="1" applyFill="1" applyBorder="1" applyAlignment="1">
      <alignment horizontal="center" vertical="top" wrapText="1"/>
    </xf>
    <xf numFmtId="0" fontId="176" fillId="5" borderId="17" xfId="0" applyFont="1" applyFill="1" applyBorder="1" applyAlignment="1">
      <alignment horizontal="center" vertical="top" wrapText="1"/>
    </xf>
    <xf numFmtId="2" fontId="158" fillId="11" borderId="25" xfId="0" applyNumberFormat="1" applyFont="1" applyFill="1" applyBorder="1" applyAlignment="1">
      <alignment horizontal="center" vertical="center"/>
    </xf>
    <xf numFmtId="0" fontId="244" fillId="56" borderId="114" xfId="0" applyFont="1" applyFill="1" applyBorder="1" applyAlignment="1">
      <alignment horizontal="center" vertical="center"/>
    </xf>
    <xf numFmtId="0" fontId="244" fillId="56" borderId="115" xfId="0" applyFont="1" applyFill="1" applyBorder="1" applyAlignment="1">
      <alignment horizontal="center" vertical="center"/>
    </xf>
    <xf numFmtId="0" fontId="232" fillId="62" borderId="26" xfId="0" applyFont="1" applyFill="1" applyBorder="1" applyAlignment="1">
      <alignment horizontal="center" vertical="center" shrinkToFit="1"/>
    </xf>
    <xf numFmtId="0" fontId="232" fillId="62" borderId="32" xfId="0" applyFont="1" applyFill="1" applyBorder="1" applyAlignment="1">
      <alignment horizontal="center" vertical="center" shrinkToFit="1"/>
    </xf>
    <xf numFmtId="0" fontId="232" fillId="62" borderId="126" xfId="0" applyFont="1" applyFill="1" applyBorder="1" applyAlignment="1">
      <alignment horizontal="center" vertical="center" shrinkToFit="1"/>
    </xf>
    <xf numFmtId="0" fontId="232" fillId="62" borderId="127" xfId="0" applyFont="1" applyFill="1" applyBorder="1" applyAlignment="1">
      <alignment horizontal="center" vertical="center" shrinkToFit="1"/>
    </xf>
    <xf numFmtId="0" fontId="228" fillId="56" borderId="32" xfId="0" applyFont="1" applyFill="1" applyBorder="1" applyAlignment="1">
      <alignment horizontal="center" vertical="center" wrapText="1"/>
    </xf>
    <xf numFmtId="0" fontId="228" fillId="56" borderId="12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5">
    <dxf>
      <font>
        <b/>
        <i val="0"/>
        <color rgb="FFDBEEF3"/>
      </font>
    </dxf>
    <dxf>
      <font>
        <color theme="7" tint="-0.24993999302387238"/>
      </font>
    </dxf>
    <dxf>
      <font>
        <b/>
        <i val="0"/>
        <color rgb="FFB6DDE8"/>
      </font>
    </dxf>
    <dxf>
      <font>
        <color theme="7" tint="-0.24993999302387238"/>
      </font>
    </dxf>
    <dxf>
      <font>
        <b/>
        <i val="0"/>
        <color rgb="FFDBEEF3"/>
      </font>
    </dxf>
    <dxf>
      <font>
        <b/>
        <i val="0"/>
        <color rgb="FF0066CC"/>
      </font>
    </dxf>
    <dxf>
      <font>
        <color theme="2" tint="-0.4999699890613556"/>
      </font>
    </dxf>
    <dxf>
      <font>
        <color theme="2" tint="-0.24993999302387238"/>
      </font>
    </dxf>
    <dxf>
      <font>
        <color theme="9" tint="0.5999600291252136"/>
      </font>
    </dxf>
    <dxf>
      <font>
        <color theme="9" tint="0.7999799847602844"/>
      </font>
    </dxf>
    <dxf>
      <font>
        <color theme="6" tint="0.7999799847602844"/>
      </font>
    </dxf>
    <dxf>
      <font>
        <color theme="8" tint="0.5999600291252136"/>
      </font>
    </dxf>
    <dxf>
      <font>
        <color theme="8" tint="0.7999799847602844"/>
      </font>
    </dxf>
    <dxf>
      <font>
        <color theme="7" tint="-0.4999699890613556"/>
      </font>
    </dxf>
    <dxf>
      <font>
        <color theme="7" tint="-0.24993999302387238"/>
      </font>
    </dxf>
    <dxf>
      <font>
        <color theme="7" tint="0.3999499976634979"/>
      </font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rgb="FFFF0000"/>
      </font>
      <fill>
        <patternFill>
          <bgColor rgb="FF66FF66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1"/>
        </patternFill>
      </fill>
    </dxf>
    <dxf>
      <font>
        <color theme="2" tint="-0.8999500274658203"/>
      </font>
      <fill>
        <patternFill>
          <bgColor rgb="FF00FF00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8999500274658203"/>
      </font>
      <fill>
        <patternFill>
          <bgColor rgb="FF00FF00"/>
        </patternFill>
      </fill>
    </dxf>
    <dxf>
      <font>
        <b/>
        <i val="0"/>
        <color rgb="FFDBEEF3"/>
      </font>
    </dxf>
    <dxf>
      <font>
        <color theme="7" tint="-0.24993999302387238"/>
      </font>
    </dxf>
    <dxf>
      <font>
        <b/>
        <i val="0"/>
        <color rgb="FFB6DDE8"/>
      </font>
    </dxf>
    <dxf>
      <font>
        <color theme="7" tint="-0.24993999302387238"/>
      </font>
    </dxf>
    <dxf>
      <font>
        <b/>
        <i val="0"/>
        <color rgb="FFDBEEF3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0066CC"/>
      </font>
    </dxf>
    <dxf>
      <font>
        <color theme="2" tint="-0.4999699890613556"/>
      </font>
    </dxf>
    <dxf>
      <font>
        <color theme="2" tint="-0.24993999302387238"/>
      </font>
    </dxf>
    <dxf>
      <font>
        <color theme="9" tint="0.5999600291252136"/>
      </font>
    </dxf>
    <dxf>
      <font>
        <color theme="9" tint="0.7999799847602844"/>
      </font>
    </dxf>
    <dxf>
      <font>
        <color theme="6" tint="0.7999799847602844"/>
      </font>
    </dxf>
    <dxf>
      <font>
        <color theme="8" tint="0.5999600291252136"/>
      </font>
    </dxf>
    <dxf>
      <font>
        <color theme="8" tint="0.7999799847602844"/>
      </font>
    </dxf>
    <dxf>
      <font>
        <color theme="7" tint="-0.4999699890613556"/>
      </font>
    </dxf>
    <dxf>
      <font>
        <color theme="7" tint="-0.24993999302387238"/>
      </font>
    </dxf>
    <dxf>
      <font>
        <color theme="7" tint="0.3999499976634979"/>
      </font>
    </dxf>
    <dxf>
      <font>
        <color theme="7" tint="0.5999600291252136"/>
      </font>
      <fill>
        <patternFill>
          <bgColor theme="7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2" tint="-0.24993999302387238"/>
      </font>
    </dxf>
    <dxf>
      <font>
        <color rgb="FF3333FF"/>
      </font>
    </dxf>
    <dxf>
      <font>
        <color theme="9" tint="0.3999499976634979"/>
      </font>
    </dxf>
    <dxf>
      <font>
        <color theme="6" tint="0.3999499976634979"/>
      </font>
    </dxf>
    <dxf>
      <font>
        <color theme="8" tint="0.5999600291252136"/>
      </font>
    </dxf>
    <dxf>
      <font>
        <color theme="7" tint="0.5999600291252136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66FF66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1"/>
        </patternFill>
      </fill>
    </dxf>
    <dxf>
      <font>
        <color theme="2" tint="-0.8999500274658203"/>
      </font>
      <fill>
        <patternFill>
          <bgColor rgb="FF00FF00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8999500274658203"/>
      </font>
      <fill>
        <patternFill>
          <bgColor rgb="FF00FF00"/>
        </patternFill>
      </fill>
    </dxf>
    <dxf>
      <font>
        <b/>
        <i val="0"/>
        <color rgb="FFDBEEF3"/>
      </font>
    </dxf>
    <dxf>
      <font>
        <color theme="7" tint="-0.24993999302387238"/>
      </font>
    </dxf>
    <dxf>
      <font>
        <b/>
        <i val="0"/>
        <color rgb="FFB6DDE8"/>
      </font>
    </dxf>
    <dxf>
      <font>
        <color theme="7" tint="-0.24993999302387238"/>
      </font>
    </dxf>
    <dxf>
      <font>
        <b/>
        <i val="0"/>
        <color rgb="FFDBEEF3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0066CC"/>
      </font>
    </dxf>
    <dxf>
      <font>
        <color theme="2" tint="-0.4999699890613556"/>
      </font>
    </dxf>
    <dxf>
      <font>
        <color theme="2" tint="-0.24993999302387238"/>
      </font>
    </dxf>
    <dxf>
      <font>
        <color theme="9" tint="0.5999600291252136"/>
      </font>
    </dxf>
    <dxf>
      <font>
        <color theme="9" tint="0.7999799847602844"/>
      </font>
    </dxf>
    <dxf>
      <font>
        <color theme="6" tint="0.7999799847602844"/>
      </font>
    </dxf>
    <dxf>
      <font>
        <color theme="8" tint="0.5999600291252136"/>
      </font>
    </dxf>
    <dxf>
      <font>
        <color theme="8" tint="0.7999799847602844"/>
      </font>
    </dxf>
    <dxf>
      <font>
        <color theme="7" tint="-0.24993999302387238"/>
      </font>
    </dxf>
    <dxf>
      <font>
        <color theme="7" tint="0.3999499976634979"/>
      </font>
    </dxf>
    <dxf>
      <font>
        <color theme="7" tint="0.5999600291252136"/>
      </font>
      <fill>
        <patternFill>
          <bgColor theme="7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24993999302387238"/>
      </font>
    </dxf>
    <dxf>
      <font>
        <color rgb="FF3333FF"/>
      </font>
    </dxf>
    <dxf>
      <font>
        <color theme="9" tint="0.3999499976634979"/>
      </font>
    </dxf>
    <dxf>
      <font>
        <color theme="6" tint="0.3999499976634979"/>
      </font>
    </dxf>
    <dxf>
      <font>
        <color theme="8" tint="0.5999600291252136"/>
      </font>
    </dxf>
    <dxf>
      <font>
        <color theme="7" tint="0.5999600291252136"/>
      </font>
    </dxf>
    <dxf>
      <font>
        <color rgb="FFC5BE97"/>
      </font>
    </dxf>
    <dxf>
      <font>
        <color rgb="FFFAC090"/>
      </font>
    </dxf>
    <dxf>
      <font>
        <color rgb="FFC2D69A"/>
      </font>
    </dxf>
    <dxf>
      <font>
        <color rgb="FFB6DDE8"/>
      </font>
    </dxf>
    <dxf>
      <font>
        <color rgb="FFCCC0DA"/>
      </font>
    </dxf>
    <dxf>
      <font>
        <color rgb="FF0000FF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rgb="FF0000FF"/>
      </font>
      <border/>
    </dxf>
    <dxf>
      <font>
        <color rgb="FFCCC0DA"/>
      </font>
      <border/>
    </dxf>
    <dxf>
      <font>
        <color rgb="FFB6DDE8"/>
      </font>
      <border/>
    </dxf>
    <dxf>
      <font>
        <color rgb="FFC2D69A"/>
      </font>
      <border/>
    </dxf>
    <dxf>
      <font>
        <color rgb="FFFAC090"/>
      </font>
      <border/>
    </dxf>
    <dxf>
      <font>
        <color rgb="FFC5BE97"/>
      </font>
      <border/>
    </dxf>
    <dxf>
      <font>
        <color theme="7" tint="0.5999600291252136"/>
      </font>
      <border/>
    </dxf>
    <dxf>
      <font>
        <color theme="8" tint="0.5999600291252136"/>
      </font>
      <border/>
    </dxf>
    <dxf>
      <font>
        <color theme="6" tint="0.3999499976634979"/>
      </font>
      <border/>
    </dxf>
    <dxf>
      <font>
        <color theme="9" tint="0.3999499976634979"/>
      </font>
      <border/>
    </dxf>
    <dxf>
      <font>
        <color rgb="FF3333FF"/>
      </font>
      <border/>
    </dxf>
    <dxf>
      <font>
        <color theme="2" tint="-0.24993999302387238"/>
      </font>
      <border/>
    </dxf>
    <dxf>
      <font>
        <color theme="7" tint="0.5999600291252136"/>
      </font>
      <fill>
        <patternFill>
          <bgColor theme="7" tint="0.5999600291252136"/>
        </patternFill>
      </fill>
      <border/>
    </dxf>
    <dxf>
      <font>
        <color theme="7" tint="0.3999499976634979"/>
      </font>
      <border/>
    </dxf>
    <dxf>
      <font>
        <color theme="7" tint="-0.24993999302387238"/>
      </font>
      <border/>
    </dxf>
    <dxf>
      <font>
        <color theme="8" tint="0.7999799847602844"/>
      </font>
      <border/>
    </dxf>
    <dxf>
      <font>
        <color theme="6" tint="0.7999799847602844"/>
      </font>
      <border/>
    </dxf>
    <dxf>
      <font>
        <color theme="9" tint="0.7999799847602844"/>
      </font>
      <border/>
    </dxf>
    <dxf>
      <font>
        <color theme="9" tint="0.5999600291252136"/>
      </font>
      <border/>
    </dxf>
    <dxf>
      <font>
        <color theme="2" tint="-0.4999699890613556"/>
      </font>
      <border/>
    </dxf>
    <dxf>
      <font>
        <b/>
        <i val="0"/>
        <color rgb="FF0066CC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DBEEF3"/>
      </font>
      <border/>
    </dxf>
    <dxf>
      <font>
        <b/>
        <i val="0"/>
        <color rgb="FFB6DDE8"/>
      </font>
      <border/>
    </dxf>
    <dxf>
      <font>
        <color theme="2" tint="-0.8999500274658203"/>
      </font>
      <fill>
        <patternFill>
          <bgColor rgb="FF00FF00"/>
        </patternFill>
      </fill>
      <border/>
    </dxf>
    <dxf>
      <font>
        <color theme="1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FF0000"/>
      </font>
      <fill>
        <patternFill>
          <bgColor rgb="FF66FF66"/>
        </patternFill>
      </fill>
      <border/>
    </dxf>
    <dxf>
      <font>
        <color theme="7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323850</xdr:rowOff>
    </xdr:to>
    <xdr:sp macro="[0]!DeleteA">
      <xdr:nvSpPr>
        <xdr:cNvPr id="1" name="Rectangle 1"/>
        <xdr:cNvSpPr>
          <a:spLocks/>
        </xdr:cNvSpPr>
      </xdr:nvSpPr>
      <xdr:spPr>
        <a:xfrm>
          <a:off x="13620750" y="2886075"/>
          <a:ext cx="0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323850</xdr:rowOff>
    </xdr:to>
    <xdr:sp macro="[0]!DeleteB">
      <xdr:nvSpPr>
        <xdr:cNvPr id="2" name="Rectangle 2"/>
        <xdr:cNvSpPr>
          <a:spLocks/>
        </xdr:cNvSpPr>
      </xdr:nvSpPr>
      <xdr:spPr>
        <a:xfrm>
          <a:off x="13620750" y="3228975"/>
          <a:ext cx="0" cy="3238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12</xdr:col>
      <xdr:colOff>0</xdr:colOff>
      <xdr:row>5</xdr:row>
      <xdr:rowOff>333375</xdr:rowOff>
    </xdr:from>
    <xdr:to>
      <xdr:col>12</xdr:col>
      <xdr:colOff>0</xdr:colOff>
      <xdr:row>6</xdr:row>
      <xdr:rowOff>314325</xdr:rowOff>
    </xdr:to>
    <xdr:sp macro="[0]!DeleteC">
      <xdr:nvSpPr>
        <xdr:cNvPr id="3" name="Rectangle 3"/>
        <xdr:cNvSpPr>
          <a:spLocks/>
        </xdr:cNvSpPr>
      </xdr:nvSpPr>
      <xdr:spPr>
        <a:xfrm>
          <a:off x="13620750" y="3562350"/>
          <a:ext cx="0" cy="3238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12</xdr:col>
      <xdr:colOff>0</xdr:colOff>
      <xdr:row>6</xdr:row>
      <xdr:rowOff>333375</xdr:rowOff>
    </xdr:from>
    <xdr:to>
      <xdr:col>12</xdr:col>
      <xdr:colOff>0</xdr:colOff>
      <xdr:row>7</xdr:row>
      <xdr:rowOff>314325</xdr:rowOff>
    </xdr:to>
    <xdr:sp macro="[0]!DeleteD">
      <xdr:nvSpPr>
        <xdr:cNvPr id="4" name="Rectangle 4"/>
        <xdr:cNvSpPr>
          <a:spLocks/>
        </xdr:cNvSpPr>
      </xdr:nvSpPr>
      <xdr:spPr>
        <a:xfrm>
          <a:off x="13620750" y="3905250"/>
          <a:ext cx="0" cy="3238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0</xdr:colOff>
      <xdr:row>7</xdr:row>
      <xdr:rowOff>333375</xdr:rowOff>
    </xdr:from>
    <xdr:to>
      <xdr:col>12</xdr:col>
      <xdr:colOff>0</xdr:colOff>
      <xdr:row>8</xdr:row>
      <xdr:rowOff>314325</xdr:rowOff>
    </xdr:to>
    <xdr:sp macro="[0]!DeleteE">
      <xdr:nvSpPr>
        <xdr:cNvPr id="5" name="Rectangle 5"/>
        <xdr:cNvSpPr>
          <a:spLocks/>
        </xdr:cNvSpPr>
      </xdr:nvSpPr>
      <xdr:spPr>
        <a:xfrm>
          <a:off x="13620750" y="4248150"/>
          <a:ext cx="0" cy="3238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0</xdr:colOff>
      <xdr:row>8</xdr:row>
      <xdr:rowOff>333375</xdr:rowOff>
    </xdr:from>
    <xdr:to>
      <xdr:col>12</xdr:col>
      <xdr:colOff>0</xdr:colOff>
      <xdr:row>9</xdr:row>
      <xdr:rowOff>314325</xdr:rowOff>
    </xdr:to>
    <xdr:sp macro="[0]!DeleteF">
      <xdr:nvSpPr>
        <xdr:cNvPr id="6" name="Rectangle 6"/>
        <xdr:cNvSpPr>
          <a:spLocks/>
        </xdr:cNvSpPr>
      </xdr:nvSpPr>
      <xdr:spPr>
        <a:xfrm>
          <a:off x="13620750" y="4591050"/>
          <a:ext cx="0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19050</xdr:rowOff>
    </xdr:from>
    <xdr:to>
      <xdr:col>6</xdr:col>
      <xdr:colOff>762000</xdr:colOff>
      <xdr:row>4</xdr:row>
      <xdr:rowOff>342900</xdr:rowOff>
    </xdr:to>
    <xdr:sp macro="[0]!DeleteA1">
      <xdr:nvSpPr>
        <xdr:cNvPr id="1" name="Rectangle 1"/>
        <xdr:cNvSpPr>
          <a:spLocks/>
        </xdr:cNvSpPr>
      </xdr:nvSpPr>
      <xdr:spPr>
        <a:xfrm>
          <a:off x="9286875" y="2905125"/>
          <a:ext cx="0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A1</a:t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6</xdr:col>
      <xdr:colOff>752475</xdr:colOff>
      <xdr:row>5</xdr:row>
      <xdr:rowOff>342900</xdr:rowOff>
    </xdr:to>
    <xdr:sp macro="[0]!DeleteA2">
      <xdr:nvSpPr>
        <xdr:cNvPr id="2" name="Rectangle 2"/>
        <xdr:cNvSpPr>
          <a:spLocks/>
        </xdr:cNvSpPr>
      </xdr:nvSpPr>
      <xdr:spPr>
        <a:xfrm>
          <a:off x="9286875" y="3343275"/>
          <a:ext cx="0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6</xdr:row>
      <xdr:rowOff>28575</xdr:rowOff>
    </xdr:from>
    <xdr:to>
      <xdr:col>6</xdr:col>
      <xdr:colOff>742950</xdr:colOff>
      <xdr:row>6</xdr:row>
      <xdr:rowOff>352425</xdr:rowOff>
    </xdr:to>
    <xdr:sp macro="[0]!DeleteA3">
      <xdr:nvSpPr>
        <xdr:cNvPr id="3" name="Rectangle 3"/>
        <xdr:cNvSpPr>
          <a:spLocks/>
        </xdr:cNvSpPr>
      </xdr:nvSpPr>
      <xdr:spPr>
        <a:xfrm>
          <a:off x="9286875" y="3790950"/>
          <a:ext cx="0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7</xdr:row>
      <xdr:rowOff>38100</xdr:rowOff>
    </xdr:from>
    <xdr:to>
      <xdr:col>6</xdr:col>
      <xdr:colOff>742950</xdr:colOff>
      <xdr:row>7</xdr:row>
      <xdr:rowOff>361950</xdr:rowOff>
    </xdr:to>
    <xdr:sp macro="[0]!DeleteA4">
      <xdr:nvSpPr>
        <xdr:cNvPr id="4" name="Rectangle 4"/>
        <xdr:cNvSpPr>
          <a:spLocks/>
        </xdr:cNvSpPr>
      </xdr:nvSpPr>
      <xdr:spPr>
        <a:xfrm>
          <a:off x="9286875" y="4238625"/>
          <a:ext cx="0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A4</a:t>
          </a:r>
        </a:p>
      </xdr:txBody>
    </xdr:sp>
    <xdr:clientData/>
  </xdr:twoCellAnchor>
  <xdr:twoCellAnchor>
    <xdr:from>
      <xdr:col>6</xdr:col>
      <xdr:colOff>9525</xdr:colOff>
      <xdr:row>8</xdr:row>
      <xdr:rowOff>38100</xdr:rowOff>
    </xdr:from>
    <xdr:to>
      <xdr:col>6</xdr:col>
      <xdr:colOff>742950</xdr:colOff>
      <xdr:row>8</xdr:row>
      <xdr:rowOff>361950</xdr:rowOff>
    </xdr:to>
    <xdr:sp macro="[0]!DeleteA5">
      <xdr:nvSpPr>
        <xdr:cNvPr id="5" name="Rectangle 5"/>
        <xdr:cNvSpPr>
          <a:spLocks/>
        </xdr:cNvSpPr>
      </xdr:nvSpPr>
      <xdr:spPr>
        <a:xfrm>
          <a:off x="9286875" y="4810125"/>
          <a:ext cx="0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A5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733425</xdr:colOff>
      <xdr:row>9</xdr:row>
      <xdr:rowOff>342900</xdr:rowOff>
    </xdr:to>
    <xdr:sp macro="[0]!DeleteB1">
      <xdr:nvSpPr>
        <xdr:cNvPr id="6" name="Rectangle 6"/>
        <xdr:cNvSpPr>
          <a:spLocks/>
        </xdr:cNvSpPr>
      </xdr:nvSpPr>
      <xdr:spPr>
        <a:xfrm>
          <a:off x="9286875" y="5362575"/>
          <a:ext cx="0" cy="3238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B1</a:t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733425</xdr:colOff>
      <xdr:row>10</xdr:row>
      <xdr:rowOff>342900</xdr:rowOff>
    </xdr:to>
    <xdr:sp macro="[0]!DeleteB2">
      <xdr:nvSpPr>
        <xdr:cNvPr id="7" name="Rectangle 7"/>
        <xdr:cNvSpPr>
          <a:spLocks/>
        </xdr:cNvSpPr>
      </xdr:nvSpPr>
      <xdr:spPr>
        <a:xfrm>
          <a:off x="9286875" y="5934075"/>
          <a:ext cx="0" cy="3238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B2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733425</xdr:colOff>
      <xdr:row>11</xdr:row>
      <xdr:rowOff>323850</xdr:rowOff>
    </xdr:to>
    <xdr:sp macro="[0]!DeleteC1">
      <xdr:nvSpPr>
        <xdr:cNvPr id="8" name="Rectangle 8"/>
        <xdr:cNvSpPr>
          <a:spLocks/>
        </xdr:cNvSpPr>
      </xdr:nvSpPr>
      <xdr:spPr>
        <a:xfrm>
          <a:off x="9286875" y="6486525"/>
          <a:ext cx="0" cy="3238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C1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733425</xdr:colOff>
      <xdr:row>12</xdr:row>
      <xdr:rowOff>323850</xdr:rowOff>
    </xdr:to>
    <xdr:sp macro="[0]!deleteC2">
      <xdr:nvSpPr>
        <xdr:cNvPr id="9" name="Rectangle 9"/>
        <xdr:cNvSpPr>
          <a:spLocks/>
        </xdr:cNvSpPr>
      </xdr:nvSpPr>
      <xdr:spPr>
        <a:xfrm>
          <a:off x="9286875" y="7058025"/>
          <a:ext cx="0" cy="3238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C2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733425</xdr:colOff>
      <xdr:row>13</xdr:row>
      <xdr:rowOff>323850</xdr:rowOff>
    </xdr:to>
    <xdr:sp macro="[0]!DeleteD1">
      <xdr:nvSpPr>
        <xdr:cNvPr id="10" name="Rectangle 10"/>
        <xdr:cNvSpPr>
          <a:spLocks/>
        </xdr:cNvSpPr>
      </xdr:nvSpPr>
      <xdr:spPr>
        <a:xfrm>
          <a:off x="9286875" y="7629525"/>
          <a:ext cx="0" cy="3238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D1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733425</xdr:colOff>
      <xdr:row>14</xdr:row>
      <xdr:rowOff>323850</xdr:rowOff>
    </xdr:to>
    <xdr:sp macro="[0]!Deleted2">
      <xdr:nvSpPr>
        <xdr:cNvPr id="11" name="Rectangle 11"/>
        <xdr:cNvSpPr>
          <a:spLocks/>
        </xdr:cNvSpPr>
      </xdr:nvSpPr>
      <xdr:spPr>
        <a:xfrm>
          <a:off x="9286875" y="8201025"/>
          <a:ext cx="0" cy="3238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D2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733425</xdr:colOff>
      <xdr:row>15</xdr:row>
      <xdr:rowOff>323850</xdr:rowOff>
    </xdr:to>
    <xdr:sp macro="[0]!DeleteE1">
      <xdr:nvSpPr>
        <xdr:cNvPr id="12" name="Rectangle 12"/>
        <xdr:cNvSpPr>
          <a:spLocks/>
        </xdr:cNvSpPr>
      </xdr:nvSpPr>
      <xdr:spPr>
        <a:xfrm>
          <a:off x="9286875" y="8772525"/>
          <a:ext cx="0" cy="3238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E1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733425</xdr:colOff>
      <xdr:row>16</xdr:row>
      <xdr:rowOff>323850</xdr:rowOff>
    </xdr:to>
    <xdr:sp macro="[0]!DeleteE2">
      <xdr:nvSpPr>
        <xdr:cNvPr id="13" name="Rectangle 13"/>
        <xdr:cNvSpPr>
          <a:spLocks/>
        </xdr:cNvSpPr>
      </xdr:nvSpPr>
      <xdr:spPr>
        <a:xfrm>
          <a:off x="9286875" y="9344025"/>
          <a:ext cx="0" cy="3238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E2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733425</xdr:colOff>
      <xdr:row>17</xdr:row>
      <xdr:rowOff>323850</xdr:rowOff>
    </xdr:to>
    <xdr:sp macro="[0]!DeleteF1">
      <xdr:nvSpPr>
        <xdr:cNvPr id="14" name="Rectangle 14"/>
        <xdr:cNvSpPr>
          <a:spLocks/>
        </xdr:cNvSpPr>
      </xdr:nvSpPr>
      <xdr:spPr>
        <a:xfrm>
          <a:off x="9286875" y="9915525"/>
          <a:ext cx="0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F1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733425</xdr:colOff>
      <xdr:row>18</xdr:row>
      <xdr:rowOff>323850</xdr:rowOff>
    </xdr:to>
    <xdr:sp macro="[0]!DeleteF2">
      <xdr:nvSpPr>
        <xdr:cNvPr id="15" name="Rectangle 15"/>
        <xdr:cNvSpPr>
          <a:spLocks/>
        </xdr:cNvSpPr>
      </xdr:nvSpPr>
      <xdr:spPr>
        <a:xfrm>
          <a:off x="9286875" y="10487025"/>
          <a:ext cx="0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F2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733425</xdr:colOff>
      <xdr:row>19</xdr:row>
      <xdr:rowOff>323850</xdr:rowOff>
    </xdr:to>
    <xdr:sp macro="[0]!DeleteF3">
      <xdr:nvSpPr>
        <xdr:cNvPr id="16" name="Rectangle 16"/>
        <xdr:cNvSpPr>
          <a:spLocks/>
        </xdr:cNvSpPr>
      </xdr:nvSpPr>
      <xdr:spPr>
        <a:xfrm>
          <a:off x="9286875" y="11058525"/>
          <a:ext cx="0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F3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733425</xdr:colOff>
      <xdr:row>20</xdr:row>
      <xdr:rowOff>323850</xdr:rowOff>
    </xdr:to>
    <xdr:sp macro="[0]!DeleteF4">
      <xdr:nvSpPr>
        <xdr:cNvPr id="17" name="Rectangle 17"/>
        <xdr:cNvSpPr>
          <a:spLocks/>
        </xdr:cNvSpPr>
      </xdr:nvSpPr>
      <xdr:spPr>
        <a:xfrm>
          <a:off x="9286875" y="11630025"/>
          <a:ext cx="0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19050</xdr:rowOff>
    </xdr:from>
    <xdr:to>
      <xdr:col>6</xdr:col>
      <xdr:colOff>762000</xdr:colOff>
      <xdr:row>4</xdr:row>
      <xdr:rowOff>342900</xdr:rowOff>
    </xdr:to>
    <xdr:sp macro="[0]!DeleteA1">
      <xdr:nvSpPr>
        <xdr:cNvPr id="1" name="Rectangle 1"/>
        <xdr:cNvSpPr>
          <a:spLocks/>
        </xdr:cNvSpPr>
      </xdr:nvSpPr>
      <xdr:spPr>
        <a:xfrm>
          <a:off x="10963275" y="3200400"/>
          <a:ext cx="733425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A1</a:t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6</xdr:col>
      <xdr:colOff>752475</xdr:colOff>
      <xdr:row>5</xdr:row>
      <xdr:rowOff>342900</xdr:rowOff>
    </xdr:to>
    <xdr:sp macro="[0]!DeleteA2">
      <xdr:nvSpPr>
        <xdr:cNvPr id="2" name="Rectangle 2"/>
        <xdr:cNvSpPr>
          <a:spLocks/>
        </xdr:cNvSpPr>
      </xdr:nvSpPr>
      <xdr:spPr>
        <a:xfrm>
          <a:off x="10953750" y="3590925"/>
          <a:ext cx="733425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6</xdr:row>
      <xdr:rowOff>28575</xdr:rowOff>
    </xdr:from>
    <xdr:to>
      <xdr:col>6</xdr:col>
      <xdr:colOff>742950</xdr:colOff>
      <xdr:row>6</xdr:row>
      <xdr:rowOff>352425</xdr:rowOff>
    </xdr:to>
    <xdr:sp macro="[0]!DeleteA3">
      <xdr:nvSpPr>
        <xdr:cNvPr id="3" name="Rectangle 3"/>
        <xdr:cNvSpPr>
          <a:spLocks/>
        </xdr:cNvSpPr>
      </xdr:nvSpPr>
      <xdr:spPr>
        <a:xfrm>
          <a:off x="10944225" y="3990975"/>
          <a:ext cx="733425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7</xdr:row>
      <xdr:rowOff>38100</xdr:rowOff>
    </xdr:from>
    <xdr:to>
      <xdr:col>6</xdr:col>
      <xdr:colOff>742950</xdr:colOff>
      <xdr:row>7</xdr:row>
      <xdr:rowOff>361950</xdr:rowOff>
    </xdr:to>
    <xdr:sp macro="[0]!DeleteA4">
      <xdr:nvSpPr>
        <xdr:cNvPr id="4" name="Rectangle 4"/>
        <xdr:cNvSpPr>
          <a:spLocks/>
        </xdr:cNvSpPr>
      </xdr:nvSpPr>
      <xdr:spPr>
        <a:xfrm>
          <a:off x="10944225" y="4391025"/>
          <a:ext cx="733425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A4</a:t>
          </a:r>
        </a:p>
      </xdr:txBody>
    </xdr:sp>
    <xdr:clientData/>
  </xdr:twoCellAnchor>
  <xdr:twoCellAnchor>
    <xdr:from>
      <xdr:col>6</xdr:col>
      <xdr:colOff>9525</xdr:colOff>
      <xdr:row>8</xdr:row>
      <xdr:rowOff>38100</xdr:rowOff>
    </xdr:from>
    <xdr:to>
      <xdr:col>6</xdr:col>
      <xdr:colOff>742950</xdr:colOff>
      <xdr:row>8</xdr:row>
      <xdr:rowOff>361950</xdr:rowOff>
    </xdr:to>
    <xdr:sp macro="[0]!DeleteA5">
      <xdr:nvSpPr>
        <xdr:cNvPr id="5" name="Rectangle 5"/>
        <xdr:cNvSpPr>
          <a:spLocks/>
        </xdr:cNvSpPr>
      </xdr:nvSpPr>
      <xdr:spPr>
        <a:xfrm>
          <a:off x="10944225" y="4781550"/>
          <a:ext cx="733425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A5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733425</xdr:colOff>
      <xdr:row>9</xdr:row>
      <xdr:rowOff>342900</xdr:rowOff>
    </xdr:to>
    <xdr:sp macro="[0]!DeleteB1">
      <xdr:nvSpPr>
        <xdr:cNvPr id="6" name="Rectangle 6"/>
        <xdr:cNvSpPr>
          <a:spLocks/>
        </xdr:cNvSpPr>
      </xdr:nvSpPr>
      <xdr:spPr>
        <a:xfrm>
          <a:off x="10934700" y="5153025"/>
          <a:ext cx="733425" cy="3238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B1</a:t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733425</xdr:colOff>
      <xdr:row>10</xdr:row>
      <xdr:rowOff>342900</xdr:rowOff>
    </xdr:to>
    <xdr:sp macro="[0]!DeleteB2">
      <xdr:nvSpPr>
        <xdr:cNvPr id="7" name="Rectangle 7"/>
        <xdr:cNvSpPr>
          <a:spLocks/>
        </xdr:cNvSpPr>
      </xdr:nvSpPr>
      <xdr:spPr>
        <a:xfrm>
          <a:off x="10934700" y="5543550"/>
          <a:ext cx="733425" cy="3238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B2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733425</xdr:colOff>
      <xdr:row>11</xdr:row>
      <xdr:rowOff>323850</xdr:rowOff>
    </xdr:to>
    <xdr:sp macro="[0]!DeleteC1">
      <xdr:nvSpPr>
        <xdr:cNvPr id="8" name="Rectangle 8"/>
        <xdr:cNvSpPr>
          <a:spLocks/>
        </xdr:cNvSpPr>
      </xdr:nvSpPr>
      <xdr:spPr>
        <a:xfrm>
          <a:off x="10934700" y="5915025"/>
          <a:ext cx="733425" cy="3238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C1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733425</xdr:colOff>
      <xdr:row>12</xdr:row>
      <xdr:rowOff>323850</xdr:rowOff>
    </xdr:to>
    <xdr:sp macro="[0]!deleteC2">
      <xdr:nvSpPr>
        <xdr:cNvPr id="9" name="Rectangle 9"/>
        <xdr:cNvSpPr>
          <a:spLocks/>
        </xdr:cNvSpPr>
      </xdr:nvSpPr>
      <xdr:spPr>
        <a:xfrm>
          <a:off x="10934700" y="6305550"/>
          <a:ext cx="733425" cy="3238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C2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733425</xdr:colOff>
      <xdr:row>13</xdr:row>
      <xdr:rowOff>323850</xdr:rowOff>
    </xdr:to>
    <xdr:sp macro="[0]!DeleteD1">
      <xdr:nvSpPr>
        <xdr:cNvPr id="10" name="Rectangle 10"/>
        <xdr:cNvSpPr>
          <a:spLocks/>
        </xdr:cNvSpPr>
      </xdr:nvSpPr>
      <xdr:spPr>
        <a:xfrm>
          <a:off x="10934700" y="6696075"/>
          <a:ext cx="733425" cy="3238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D1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733425</xdr:colOff>
      <xdr:row>14</xdr:row>
      <xdr:rowOff>323850</xdr:rowOff>
    </xdr:to>
    <xdr:sp macro="[0]!Deleted2">
      <xdr:nvSpPr>
        <xdr:cNvPr id="11" name="Rectangle 11"/>
        <xdr:cNvSpPr>
          <a:spLocks/>
        </xdr:cNvSpPr>
      </xdr:nvSpPr>
      <xdr:spPr>
        <a:xfrm>
          <a:off x="10934700" y="7086600"/>
          <a:ext cx="733425" cy="3238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D2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733425</xdr:colOff>
      <xdr:row>15</xdr:row>
      <xdr:rowOff>323850</xdr:rowOff>
    </xdr:to>
    <xdr:sp macro="[0]!DeleteE1">
      <xdr:nvSpPr>
        <xdr:cNvPr id="12" name="Rectangle 12"/>
        <xdr:cNvSpPr>
          <a:spLocks/>
        </xdr:cNvSpPr>
      </xdr:nvSpPr>
      <xdr:spPr>
        <a:xfrm>
          <a:off x="10934700" y="7477125"/>
          <a:ext cx="733425" cy="323850"/>
        </a:xfrm>
        <a:prstGeom prst="rect">
          <a:avLst/>
        </a:prstGeom>
        <a:solidFill>
          <a:srgbClr val="3333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E1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733425</xdr:colOff>
      <xdr:row>16</xdr:row>
      <xdr:rowOff>323850</xdr:rowOff>
    </xdr:to>
    <xdr:sp macro="[0]!DeleteE2">
      <xdr:nvSpPr>
        <xdr:cNvPr id="13" name="Rectangle 13"/>
        <xdr:cNvSpPr>
          <a:spLocks/>
        </xdr:cNvSpPr>
      </xdr:nvSpPr>
      <xdr:spPr>
        <a:xfrm>
          <a:off x="10934700" y="7867650"/>
          <a:ext cx="733425" cy="323850"/>
        </a:xfrm>
        <a:prstGeom prst="rect">
          <a:avLst/>
        </a:prstGeom>
        <a:solidFill>
          <a:srgbClr val="3333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E2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733425</xdr:colOff>
      <xdr:row>17</xdr:row>
      <xdr:rowOff>323850</xdr:rowOff>
    </xdr:to>
    <xdr:sp macro="[0]!DeleteF1">
      <xdr:nvSpPr>
        <xdr:cNvPr id="14" name="Rectangle 14"/>
        <xdr:cNvSpPr>
          <a:spLocks/>
        </xdr:cNvSpPr>
      </xdr:nvSpPr>
      <xdr:spPr>
        <a:xfrm>
          <a:off x="10934700" y="8258175"/>
          <a:ext cx="733425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F1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733425</xdr:colOff>
      <xdr:row>18</xdr:row>
      <xdr:rowOff>323850</xdr:rowOff>
    </xdr:to>
    <xdr:sp macro="[0]!DeleteF2">
      <xdr:nvSpPr>
        <xdr:cNvPr id="15" name="Rectangle 15"/>
        <xdr:cNvSpPr>
          <a:spLocks/>
        </xdr:cNvSpPr>
      </xdr:nvSpPr>
      <xdr:spPr>
        <a:xfrm>
          <a:off x="10934700" y="8648700"/>
          <a:ext cx="733425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F2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733425</xdr:colOff>
      <xdr:row>19</xdr:row>
      <xdr:rowOff>323850</xdr:rowOff>
    </xdr:to>
    <xdr:sp macro="[0]!DeleteF3">
      <xdr:nvSpPr>
        <xdr:cNvPr id="16" name="Rectangle 16"/>
        <xdr:cNvSpPr>
          <a:spLocks/>
        </xdr:cNvSpPr>
      </xdr:nvSpPr>
      <xdr:spPr>
        <a:xfrm>
          <a:off x="10934700" y="9039225"/>
          <a:ext cx="733425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F3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733425</xdr:colOff>
      <xdr:row>20</xdr:row>
      <xdr:rowOff>323850</xdr:rowOff>
    </xdr:to>
    <xdr:sp macro="[0]!DeleteF4">
      <xdr:nvSpPr>
        <xdr:cNvPr id="17" name="Rectangle 17"/>
        <xdr:cNvSpPr>
          <a:spLocks/>
        </xdr:cNvSpPr>
      </xdr:nvSpPr>
      <xdr:spPr>
        <a:xfrm>
          <a:off x="10934700" y="9429750"/>
          <a:ext cx="733425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8</xdr:col>
      <xdr:colOff>733425</xdr:colOff>
      <xdr:row>4</xdr:row>
      <xdr:rowOff>323850</xdr:rowOff>
    </xdr:to>
    <xdr:sp macro="[0]!DeleteA">
      <xdr:nvSpPr>
        <xdr:cNvPr id="1" name="Rectangle 1"/>
        <xdr:cNvSpPr>
          <a:spLocks/>
        </xdr:cNvSpPr>
      </xdr:nvSpPr>
      <xdr:spPr>
        <a:xfrm>
          <a:off x="10058400" y="3505200"/>
          <a:ext cx="723900" cy="32385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8</xdr:col>
      <xdr:colOff>9525</xdr:colOff>
      <xdr:row>5</xdr:row>
      <xdr:rowOff>0</xdr:rowOff>
    </xdr:from>
    <xdr:to>
      <xdr:col>8</xdr:col>
      <xdr:colOff>733425</xdr:colOff>
      <xdr:row>5</xdr:row>
      <xdr:rowOff>323850</xdr:rowOff>
    </xdr:to>
    <xdr:sp macro="[0]!DeleteB">
      <xdr:nvSpPr>
        <xdr:cNvPr id="2" name="Rectangle 2"/>
        <xdr:cNvSpPr>
          <a:spLocks/>
        </xdr:cNvSpPr>
      </xdr:nvSpPr>
      <xdr:spPr>
        <a:xfrm>
          <a:off x="10058400" y="3848100"/>
          <a:ext cx="723900" cy="3238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8</xdr:col>
      <xdr:colOff>9525</xdr:colOff>
      <xdr:row>5</xdr:row>
      <xdr:rowOff>333375</xdr:rowOff>
    </xdr:from>
    <xdr:to>
      <xdr:col>8</xdr:col>
      <xdr:colOff>733425</xdr:colOff>
      <xdr:row>6</xdr:row>
      <xdr:rowOff>314325</xdr:rowOff>
    </xdr:to>
    <xdr:sp macro="[0]!DeleteC">
      <xdr:nvSpPr>
        <xdr:cNvPr id="3" name="Rectangle 3"/>
        <xdr:cNvSpPr>
          <a:spLocks/>
        </xdr:cNvSpPr>
      </xdr:nvSpPr>
      <xdr:spPr>
        <a:xfrm>
          <a:off x="10058400" y="4181475"/>
          <a:ext cx="723900" cy="3238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9525</xdr:colOff>
      <xdr:row>6</xdr:row>
      <xdr:rowOff>333375</xdr:rowOff>
    </xdr:from>
    <xdr:to>
      <xdr:col>8</xdr:col>
      <xdr:colOff>733425</xdr:colOff>
      <xdr:row>7</xdr:row>
      <xdr:rowOff>314325</xdr:rowOff>
    </xdr:to>
    <xdr:sp macro="[0]!DeleteD">
      <xdr:nvSpPr>
        <xdr:cNvPr id="4" name="Rectangle 4"/>
        <xdr:cNvSpPr>
          <a:spLocks/>
        </xdr:cNvSpPr>
      </xdr:nvSpPr>
      <xdr:spPr>
        <a:xfrm>
          <a:off x="10058400" y="4524375"/>
          <a:ext cx="723900" cy="3238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8</xdr:col>
      <xdr:colOff>9525</xdr:colOff>
      <xdr:row>7</xdr:row>
      <xdr:rowOff>333375</xdr:rowOff>
    </xdr:from>
    <xdr:to>
      <xdr:col>8</xdr:col>
      <xdr:colOff>733425</xdr:colOff>
      <xdr:row>8</xdr:row>
      <xdr:rowOff>314325</xdr:rowOff>
    </xdr:to>
    <xdr:sp macro="[0]!DeleteE">
      <xdr:nvSpPr>
        <xdr:cNvPr id="5" name="Rectangle 5"/>
        <xdr:cNvSpPr>
          <a:spLocks/>
        </xdr:cNvSpPr>
      </xdr:nvSpPr>
      <xdr:spPr>
        <a:xfrm>
          <a:off x="10058400" y="4867275"/>
          <a:ext cx="723900" cy="323850"/>
        </a:xfrm>
        <a:prstGeom prst="rect">
          <a:avLst/>
        </a:prstGeom>
        <a:gradFill rotWithShape="1">
          <a:gsLst>
            <a:gs pos="0">
              <a:srgbClr val="0000FF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E</a:t>
          </a:r>
        </a:p>
      </xdr:txBody>
    </xdr:sp>
    <xdr:clientData/>
  </xdr:twoCellAnchor>
  <xdr:twoCellAnchor>
    <xdr:from>
      <xdr:col>8</xdr:col>
      <xdr:colOff>9525</xdr:colOff>
      <xdr:row>8</xdr:row>
      <xdr:rowOff>333375</xdr:rowOff>
    </xdr:from>
    <xdr:to>
      <xdr:col>8</xdr:col>
      <xdr:colOff>733425</xdr:colOff>
      <xdr:row>9</xdr:row>
      <xdr:rowOff>314325</xdr:rowOff>
    </xdr:to>
    <xdr:sp macro="[0]!DeleteF">
      <xdr:nvSpPr>
        <xdr:cNvPr id="6" name="Rectangle 6"/>
        <xdr:cNvSpPr>
          <a:spLocks/>
        </xdr:cNvSpPr>
      </xdr:nvSpPr>
      <xdr:spPr>
        <a:xfrm>
          <a:off x="10058400" y="5210175"/>
          <a:ext cx="723900" cy="3238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BF61"/>
  </sheetPr>
  <dimension ref="A1:D29"/>
  <sheetViews>
    <sheetView zoomScalePageLayoutView="0" workbookViewId="0" topLeftCell="A1">
      <selection activeCell="D13" sqref="D13"/>
    </sheetView>
  </sheetViews>
  <sheetFormatPr defaultColWidth="8.88671875" defaultRowHeight="18.75"/>
  <cols>
    <col min="1" max="1" width="7.4453125" style="221" customWidth="1"/>
    <col min="2" max="2" width="107.4453125" style="221" customWidth="1"/>
  </cols>
  <sheetData>
    <row r="1" spans="1:4" ht="27" thickBot="1">
      <c r="A1" s="908" t="s">
        <v>323</v>
      </c>
      <c r="B1" s="908"/>
      <c r="D1" s="637"/>
    </row>
    <row r="2" spans="1:4" ht="29.25" customHeight="1" thickBot="1">
      <c r="A2" s="647" t="s">
        <v>324</v>
      </c>
      <c r="B2" s="648" t="s">
        <v>325</v>
      </c>
      <c r="D2" s="637"/>
    </row>
    <row r="3" spans="1:4" ht="52.5" thickBot="1">
      <c r="A3" s="644" t="s">
        <v>326</v>
      </c>
      <c r="B3" s="646" t="s">
        <v>365</v>
      </c>
      <c r="D3" s="637"/>
    </row>
    <row r="4" spans="1:4" ht="27" thickBot="1">
      <c r="A4" s="634" t="s">
        <v>327</v>
      </c>
      <c r="B4" s="635" t="s">
        <v>328</v>
      </c>
      <c r="D4" s="637"/>
    </row>
    <row r="5" spans="1:4" ht="52.5" thickBot="1">
      <c r="A5" s="632" t="s">
        <v>329</v>
      </c>
      <c r="B5" s="633" t="s">
        <v>330</v>
      </c>
      <c r="D5" s="637"/>
    </row>
    <row r="6" spans="1:4" ht="27" thickBot="1">
      <c r="A6" s="634" t="s">
        <v>331</v>
      </c>
      <c r="B6" s="635" t="s">
        <v>332</v>
      </c>
      <c r="D6" s="637"/>
    </row>
    <row r="7" spans="1:4" ht="78.75" thickBot="1">
      <c r="A7" s="632" t="s">
        <v>333</v>
      </c>
      <c r="B7" s="633" t="s">
        <v>334</v>
      </c>
      <c r="D7" s="637"/>
    </row>
    <row r="8" spans="1:4" ht="27" thickBot="1">
      <c r="A8" s="634" t="s">
        <v>335</v>
      </c>
      <c r="B8" s="635" t="s">
        <v>336</v>
      </c>
      <c r="D8" s="637"/>
    </row>
    <row r="9" spans="1:4" ht="78.75" thickBot="1">
      <c r="A9" s="632" t="s">
        <v>337</v>
      </c>
      <c r="B9" s="633" t="s">
        <v>338</v>
      </c>
      <c r="D9" s="637"/>
    </row>
    <row r="10" spans="1:4" ht="27" thickBot="1">
      <c r="A10" s="634" t="s">
        <v>339</v>
      </c>
      <c r="B10" s="635" t="s">
        <v>340</v>
      </c>
      <c r="D10" s="637"/>
    </row>
    <row r="11" spans="1:4" ht="156.75" customHeight="1" thickBot="1">
      <c r="A11" s="632" t="s">
        <v>341</v>
      </c>
      <c r="B11" s="633" t="s">
        <v>342</v>
      </c>
      <c r="D11" s="637"/>
    </row>
    <row r="12" spans="1:4" ht="27" thickBot="1">
      <c r="A12" s="634" t="s">
        <v>343</v>
      </c>
      <c r="B12" s="635" t="s">
        <v>344</v>
      </c>
      <c r="D12" s="637"/>
    </row>
    <row r="13" spans="1:4" ht="153" customHeight="1" thickBot="1">
      <c r="A13" s="632" t="s">
        <v>345</v>
      </c>
      <c r="B13" s="633" t="s">
        <v>346</v>
      </c>
      <c r="D13" s="637"/>
    </row>
    <row r="14" spans="1:4" ht="27" thickBot="1">
      <c r="A14" s="634" t="s">
        <v>347</v>
      </c>
      <c r="B14" s="635" t="s">
        <v>348</v>
      </c>
      <c r="D14" s="637"/>
    </row>
    <row r="15" spans="1:4" ht="52.5" thickBot="1">
      <c r="A15" s="632" t="s">
        <v>349</v>
      </c>
      <c r="B15" s="633" t="s">
        <v>350</v>
      </c>
      <c r="D15" s="637"/>
    </row>
    <row r="16" spans="1:4" ht="53.25" thickBot="1">
      <c r="A16" s="634" t="s">
        <v>351</v>
      </c>
      <c r="B16" s="635" t="s">
        <v>352</v>
      </c>
      <c r="D16" s="637"/>
    </row>
    <row r="17" spans="1:4" ht="79.5" thickBot="1">
      <c r="A17" s="632" t="s">
        <v>353</v>
      </c>
      <c r="B17" s="633" t="s">
        <v>354</v>
      </c>
      <c r="D17" s="637"/>
    </row>
    <row r="18" spans="1:4" ht="79.5" thickBot="1">
      <c r="A18" s="634" t="s">
        <v>355</v>
      </c>
      <c r="B18" s="636" t="s">
        <v>356</v>
      </c>
      <c r="D18" s="637"/>
    </row>
    <row r="19" spans="1:4" ht="53.25" thickBot="1">
      <c r="A19" s="632" t="s">
        <v>357</v>
      </c>
      <c r="B19" s="633" t="s">
        <v>358</v>
      </c>
      <c r="D19" s="637"/>
    </row>
    <row r="20" spans="1:4" ht="27" thickBot="1">
      <c r="A20" s="642" t="s">
        <v>359</v>
      </c>
      <c r="B20" s="643" t="s">
        <v>366</v>
      </c>
      <c r="D20" s="637"/>
    </row>
    <row r="21" spans="1:4" ht="78.75" thickBot="1">
      <c r="A21" s="644" t="s">
        <v>360</v>
      </c>
      <c r="B21" s="646" t="s">
        <v>368</v>
      </c>
      <c r="D21" s="637"/>
    </row>
    <row r="22" spans="1:4" ht="53.25" thickBot="1">
      <c r="A22" s="634" t="s">
        <v>361</v>
      </c>
      <c r="B22" s="636" t="s">
        <v>362</v>
      </c>
      <c r="D22" s="637"/>
    </row>
    <row r="23" spans="1:4" ht="27" thickBot="1">
      <c r="A23" s="632" t="s">
        <v>363</v>
      </c>
      <c r="B23" s="633" t="s">
        <v>364</v>
      </c>
      <c r="D23" s="637"/>
    </row>
    <row r="24" spans="1:4" ht="52.5" thickBot="1">
      <c r="A24" s="642" t="s">
        <v>367</v>
      </c>
      <c r="B24" s="643" t="s">
        <v>369</v>
      </c>
      <c r="D24" s="637"/>
    </row>
    <row r="25" spans="1:4" ht="105.75" thickBot="1">
      <c r="A25" s="644" t="s">
        <v>371</v>
      </c>
      <c r="B25" s="645" t="s">
        <v>370</v>
      </c>
      <c r="D25" s="637"/>
    </row>
    <row r="26" spans="1:4" ht="19.5">
      <c r="A26" s="629"/>
      <c r="B26" s="630"/>
      <c r="C26" s="631"/>
      <c r="D26" s="637"/>
    </row>
    <row r="27" spans="1:4" ht="18.75">
      <c r="A27" s="638"/>
      <c r="B27" s="639"/>
      <c r="C27" s="637"/>
      <c r="D27" s="637"/>
    </row>
    <row r="28" spans="1:4" ht="18.75">
      <c r="A28" s="639"/>
      <c r="B28" s="639"/>
      <c r="C28" s="637"/>
      <c r="D28" s="637"/>
    </row>
    <row r="29" spans="1:4" ht="18.75">
      <c r="A29" s="639"/>
      <c r="B29" s="639"/>
      <c r="C29" s="637"/>
      <c r="D29" s="637"/>
    </row>
  </sheetData>
  <sheetProtection password="EAF4" sheet="1" objects="1" scenarios="1" selectLockedCell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N33"/>
  <sheetViews>
    <sheetView zoomScalePageLayoutView="0" workbookViewId="0" topLeftCell="A4">
      <selection activeCell="D24" sqref="D24:F24"/>
    </sheetView>
  </sheetViews>
  <sheetFormatPr defaultColWidth="8.88671875" defaultRowHeight="18.75"/>
  <cols>
    <col min="1" max="1" width="6.77734375" style="0" customWidth="1"/>
    <col min="2" max="2" width="26.3359375" style="0" customWidth="1"/>
    <col min="3" max="3" width="2.5546875" style="557" customWidth="1"/>
    <col min="4" max="4" width="6.77734375" style="557" customWidth="1"/>
    <col min="5" max="5" width="7.99609375" style="557" customWidth="1"/>
    <col min="6" max="6" width="36.6640625" style="0" customWidth="1"/>
    <col min="8" max="9" width="3.6640625" style="0" customWidth="1"/>
    <col min="13" max="13" width="13.77734375" style="0" customWidth="1"/>
    <col min="14" max="14" width="11.88671875" style="0" customWidth="1"/>
  </cols>
  <sheetData>
    <row r="1" spans="11:14" ht="19.5" thickBot="1">
      <c r="K1" s="949" t="s">
        <v>379</v>
      </c>
      <c r="L1" s="950"/>
      <c r="M1" s="950"/>
      <c r="N1" s="950"/>
    </row>
    <row r="2" spans="1:14" ht="31.5" thickBot="1">
      <c r="A2" s="951" t="s">
        <v>241</v>
      </c>
      <c r="B2" s="952"/>
      <c r="C2" s="952"/>
      <c r="D2" s="952"/>
      <c r="E2" s="952"/>
      <c r="F2" s="953"/>
      <c r="K2" s="946" t="s">
        <v>172</v>
      </c>
      <c r="L2" s="946"/>
      <c r="M2" s="946"/>
      <c r="N2" s="946"/>
    </row>
    <row r="3" spans="1:14" ht="18.75" customHeight="1">
      <c r="A3" s="533">
        <v>1</v>
      </c>
      <c r="B3" s="534" t="s">
        <v>225</v>
      </c>
      <c r="C3" s="558" t="s">
        <v>223</v>
      </c>
      <c r="D3" s="954" t="s">
        <v>421</v>
      </c>
      <c r="E3" s="955"/>
      <c r="F3" s="956"/>
      <c r="K3" s="947">
        <v>9413307717</v>
      </c>
      <c r="L3" s="947"/>
      <c r="M3" s="947"/>
      <c r="N3" s="947"/>
    </row>
    <row r="4" spans="1:14" ht="18.75" customHeight="1">
      <c r="A4" s="535">
        <f aca="true" t="shared" si="0" ref="A4:A10">1+A3</f>
        <v>2</v>
      </c>
      <c r="B4" s="536" t="s">
        <v>224</v>
      </c>
      <c r="C4" s="559" t="s">
        <v>223</v>
      </c>
      <c r="D4" s="957" t="s">
        <v>422</v>
      </c>
      <c r="E4" s="958"/>
      <c r="F4" s="959"/>
      <c r="K4" s="948" t="s">
        <v>193</v>
      </c>
      <c r="L4" s="948"/>
      <c r="M4" s="948"/>
      <c r="N4" s="948"/>
    </row>
    <row r="5" spans="1:14" ht="20.25" customHeight="1">
      <c r="A5" s="535">
        <f t="shared" si="0"/>
        <v>3</v>
      </c>
      <c r="B5" s="536" t="s">
        <v>228</v>
      </c>
      <c r="C5" s="559" t="s">
        <v>223</v>
      </c>
      <c r="D5" s="940">
        <v>16</v>
      </c>
      <c r="E5" s="941"/>
      <c r="F5" s="942"/>
      <c r="K5" s="948"/>
      <c r="L5" s="948"/>
      <c r="M5" s="948"/>
      <c r="N5" s="948"/>
    </row>
    <row r="6" spans="1:6" ht="18.75">
      <c r="A6" s="535">
        <f t="shared" si="0"/>
        <v>4</v>
      </c>
      <c r="B6" s="563" t="s">
        <v>226</v>
      </c>
      <c r="C6" s="559" t="s">
        <v>223</v>
      </c>
      <c r="D6" s="940" t="s">
        <v>423</v>
      </c>
      <c r="E6" s="941"/>
      <c r="F6" s="942"/>
    </row>
    <row r="7" spans="1:6" ht="18.75">
      <c r="A7" s="535">
        <f t="shared" si="0"/>
        <v>5</v>
      </c>
      <c r="B7" s="536" t="s">
        <v>227</v>
      </c>
      <c r="C7" s="559" t="s">
        <v>223</v>
      </c>
      <c r="D7" s="940">
        <v>9414280324</v>
      </c>
      <c r="E7" s="941"/>
      <c r="F7" s="942"/>
    </row>
    <row r="8" spans="1:6" ht="18.75">
      <c r="A8" s="535">
        <f t="shared" si="0"/>
        <v>6</v>
      </c>
      <c r="B8" s="563" t="s">
        <v>229</v>
      </c>
      <c r="C8" s="559" t="s">
        <v>223</v>
      </c>
      <c r="D8" s="940" t="s">
        <v>424</v>
      </c>
      <c r="E8" s="941"/>
      <c r="F8" s="942"/>
    </row>
    <row r="9" spans="1:6" ht="18.75">
      <c r="A9" s="535">
        <f t="shared" si="0"/>
        <v>7</v>
      </c>
      <c r="B9" s="536" t="s">
        <v>230</v>
      </c>
      <c r="C9" s="559" t="s">
        <v>223</v>
      </c>
      <c r="D9" s="940">
        <v>9414058252</v>
      </c>
      <c r="E9" s="941"/>
      <c r="F9" s="942"/>
    </row>
    <row r="10" spans="1:6" ht="19.5" thickBot="1">
      <c r="A10" s="537">
        <f t="shared" si="0"/>
        <v>8</v>
      </c>
      <c r="B10" s="538" t="s">
        <v>231</v>
      </c>
      <c r="C10" s="560" t="s">
        <v>223</v>
      </c>
      <c r="D10" s="943" t="s">
        <v>425</v>
      </c>
      <c r="E10" s="944"/>
      <c r="F10" s="945"/>
    </row>
    <row r="11" spans="1:6" ht="37.5" customHeight="1">
      <c r="A11" s="912" t="s">
        <v>243</v>
      </c>
      <c r="B11" s="912"/>
      <c r="C11" s="912"/>
      <c r="D11" s="912"/>
      <c r="E11" s="912"/>
      <c r="F11" s="562"/>
    </row>
    <row r="13" ht="19.5" thickBot="1"/>
    <row r="14" spans="1:6" ht="31.5" thickBot="1">
      <c r="A14" s="937" t="s">
        <v>242</v>
      </c>
      <c r="B14" s="938"/>
      <c r="C14" s="938"/>
      <c r="D14" s="938"/>
      <c r="E14" s="938"/>
      <c r="F14" s="939"/>
    </row>
    <row r="15" ht="19.5" thickBot="1">
      <c r="A15" s="2"/>
    </row>
    <row r="16" spans="1:6" ht="18.75" customHeight="1">
      <c r="A16" s="530">
        <v>1</v>
      </c>
      <c r="B16" s="542" t="s">
        <v>232</v>
      </c>
      <c r="C16" s="545" t="s">
        <v>223</v>
      </c>
      <c r="D16" s="922" t="s">
        <v>426</v>
      </c>
      <c r="E16" s="923"/>
      <c r="F16" s="924"/>
    </row>
    <row r="17" spans="1:8" ht="20.25">
      <c r="A17" s="531">
        <f aca="true" t="shared" si="1" ref="A17:A33">1+A16</f>
        <v>2</v>
      </c>
      <c r="B17" s="543" t="s">
        <v>236</v>
      </c>
      <c r="C17" s="546" t="s">
        <v>223</v>
      </c>
      <c r="D17" s="566">
        <v>17</v>
      </c>
      <c r="E17" s="566" t="s">
        <v>427</v>
      </c>
      <c r="F17" s="564">
        <v>2020</v>
      </c>
      <c r="H17" s="561"/>
    </row>
    <row r="18" spans="1:8" ht="21" thickBot="1">
      <c r="A18" s="532">
        <f t="shared" si="1"/>
        <v>3</v>
      </c>
      <c r="B18" s="544" t="s">
        <v>237</v>
      </c>
      <c r="C18" s="547" t="s">
        <v>223</v>
      </c>
      <c r="D18" s="567">
        <v>18</v>
      </c>
      <c r="E18" s="567" t="s">
        <v>427</v>
      </c>
      <c r="F18" s="565">
        <v>2020</v>
      </c>
      <c r="H18" s="561"/>
    </row>
    <row r="19" spans="1:6" ht="18.75" customHeight="1">
      <c r="A19" s="527">
        <f>1+A18</f>
        <v>4</v>
      </c>
      <c r="B19" s="539" t="s">
        <v>238</v>
      </c>
      <c r="C19" s="548" t="s">
        <v>223</v>
      </c>
      <c r="D19" s="925" t="s">
        <v>436</v>
      </c>
      <c r="E19" s="926"/>
      <c r="F19" s="927"/>
    </row>
    <row r="20" spans="1:6" ht="18.75" customHeight="1">
      <c r="A20" s="527">
        <f>1+A19</f>
        <v>5</v>
      </c>
      <c r="B20" s="539" t="s">
        <v>372</v>
      </c>
      <c r="C20" s="548" t="s">
        <v>223</v>
      </c>
      <c r="D20" s="928" t="s">
        <v>428</v>
      </c>
      <c r="E20" s="929"/>
      <c r="F20" s="930"/>
    </row>
    <row r="21" spans="1:6" ht="18.75" customHeight="1">
      <c r="A21" s="527">
        <f>1+A20</f>
        <v>6</v>
      </c>
      <c r="B21" s="526" t="s">
        <v>235</v>
      </c>
      <c r="C21" s="549" t="s">
        <v>223</v>
      </c>
      <c r="D21" s="928">
        <v>9414329536</v>
      </c>
      <c r="E21" s="929"/>
      <c r="F21" s="930"/>
    </row>
    <row r="22" spans="1:6" ht="18.75" customHeight="1">
      <c r="A22" s="527">
        <f t="shared" si="1"/>
        <v>7</v>
      </c>
      <c r="B22" s="526" t="s">
        <v>233</v>
      </c>
      <c r="C22" s="549" t="s">
        <v>223</v>
      </c>
      <c r="D22" s="928" t="s">
        <v>439</v>
      </c>
      <c r="E22" s="929"/>
      <c r="F22" s="930"/>
    </row>
    <row r="23" spans="1:6" ht="19.5" customHeight="1" thickBot="1">
      <c r="A23" s="528">
        <f t="shared" si="1"/>
        <v>8</v>
      </c>
      <c r="B23" s="529" t="s">
        <v>234</v>
      </c>
      <c r="C23" s="554" t="s">
        <v>223</v>
      </c>
      <c r="D23" s="931" t="s">
        <v>429</v>
      </c>
      <c r="E23" s="932"/>
      <c r="F23" s="933"/>
    </row>
    <row r="24" spans="1:6" ht="20.25" customHeight="1">
      <c r="A24" s="518">
        <f>1+A23</f>
        <v>9</v>
      </c>
      <c r="B24" s="540" t="s">
        <v>239</v>
      </c>
      <c r="C24" s="550" t="s">
        <v>223</v>
      </c>
      <c r="D24" s="934" t="s">
        <v>430</v>
      </c>
      <c r="E24" s="935"/>
      <c r="F24" s="936"/>
    </row>
    <row r="25" spans="1:6" ht="20.25" customHeight="1">
      <c r="A25" s="518">
        <f>1+A24</f>
        <v>10</v>
      </c>
      <c r="B25" s="540" t="s">
        <v>372</v>
      </c>
      <c r="C25" s="550" t="s">
        <v>223</v>
      </c>
      <c r="D25" s="913" t="s">
        <v>431</v>
      </c>
      <c r="E25" s="914"/>
      <c r="F25" s="915"/>
    </row>
    <row r="26" spans="1:6" ht="20.25" customHeight="1">
      <c r="A26" s="518">
        <f t="shared" si="1"/>
        <v>11</v>
      </c>
      <c r="B26" s="517" t="s">
        <v>235</v>
      </c>
      <c r="C26" s="551" t="s">
        <v>223</v>
      </c>
      <c r="D26" s="913">
        <v>9461190965</v>
      </c>
      <c r="E26" s="914"/>
      <c r="F26" s="915"/>
    </row>
    <row r="27" spans="1:6" ht="18.75">
      <c r="A27" s="518">
        <f t="shared" si="1"/>
        <v>12</v>
      </c>
      <c r="B27" s="517" t="s">
        <v>233</v>
      </c>
      <c r="C27" s="551" t="s">
        <v>223</v>
      </c>
      <c r="D27" s="913" t="s">
        <v>432</v>
      </c>
      <c r="E27" s="914"/>
      <c r="F27" s="915"/>
    </row>
    <row r="28" spans="1:6" ht="19.5" thickBot="1">
      <c r="A28" s="519">
        <f t="shared" si="1"/>
        <v>13</v>
      </c>
      <c r="B28" s="520" t="s">
        <v>234</v>
      </c>
      <c r="C28" s="555" t="s">
        <v>223</v>
      </c>
      <c r="D28" s="913" t="s">
        <v>433</v>
      </c>
      <c r="E28" s="914"/>
      <c r="F28" s="915"/>
    </row>
    <row r="29" spans="1:6" ht="18.75">
      <c r="A29" s="522">
        <f t="shared" si="1"/>
        <v>14</v>
      </c>
      <c r="B29" s="541" t="s">
        <v>240</v>
      </c>
      <c r="C29" s="552" t="s">
        <v>223</v>
      </c>
      <c r="D29" s="916" t="s">
        <v>434</v>
      </c>
      <c r="E29" s="917"/>
      <c r="F29" s="918"/>
    </row>
    <row r="30" spans="1:6" ht="18.75">
      <c r="A30" s="523">
        <f t="shared" si="1"/>
        <v>15</v>
      </c>
      <c r="B30" s="640" t="s">
        <v>372</v>
      </c>
      <c r="C30" s="641" t="s">
        <v>223</v>
      </c>
      <c r="D30" s="919" t="s">
        <v>435</v>
      </c>
      <c r="E30" s="920"/>
      <c r="F30" s="921"/>
    </row>
    <row r="31" spans="1:6" ht="20.25" customHeight="1">
      <c r="A31" s="523">
        <f t="shared" si="1"/>
        <v>16</v>
      </c>
      <c r="B31" s="521" t="s">
        <v>235</v>
      </c>
      <c r="C31" s="553" t="s">
        <v>223</v>
      </c>
      <c r="D31" s="919">
        <v>9887165968</v>
      </c>
      <c r="E31" s="920"/>
      <c r="F31" s="921"/>
    </row>
    <row r="32" spans="1:6" ht="18.75">
      <c r="A32" s="523">
        <f t="shared" si="1"/>
        <v>17</v>
      </c>
      <c r="B32" s="521" t="s">
        <v>233</v>
      </c>
      <c r="C32" s="553" t="s">
        <v>223</v>
      </c>
      <c r="D32" s="919" t="s">
        <v>432</v>
      </c>
      <c r="E32" s="920"/>
      <c r="F32" s="921"/>
    </row>
    <row r="33" spans="1:6" ht="19.5" thickBot="1">
      <c r="A33" s="524">
        <f t="shared" si="1"/>
        <v>18</v>
      </c>
      <c r="B33" s="525" t="s">
        <v>234</v>
      </c>
      <c r="C33" s="556" t="s">
        <v>223</v>
      </c>
      <c r="D33" s="909" t="s">
        <v>433</v>
      </c>
      <c r="E33" s="910"/>
      <c r="F33" s="911"/>
    </row>
  </sheetData>
  <sheetProtection password="EAF4" sheet="1" objects="1" scenarios="1" selectLockedCells="1"/>
  <mergeCells count="31">
    <mergeCell ref="K1:N1"/>
    <mergeCell ref="D7:F7"/>
    <mergeCell ref="A2:F2"/>
    <mergeCell ref="D3:F3"/>
    <mergeCell ref="D4:F4"/>
    <mergeCell ref="D5:F5"/>
    <mergeCell ref="D6:F6"/>
    <mergeCell ref="D30:F30"/>
    <mergeCell ref="D25:F25"/>
    <mergeCell ref="D20:F20"/>
    <mergeCell ref="K2:N2"/>
    <mergeCell ref="K3:N3"/>
    <mergeCell ref="K4:N5"/>
    <mergeCell ref="D21:F21"/>
    <mergeCell ref="D22:F22"/>
    <mergeCell ref="D23:F23"/>
    <mergeCell ref="D24:F24"/>
    <mergeCell ref="A14:F14"/>
    <mergeCell ref="D8:F8"/>
    <mergeCell ref="D9:F9"/>
    <mergeCell ref="D10:F10"/>
    <mergeCell ref="D33:F33"/>
    <mergeCell ref="A11:E11"/>
    <mergeCell ref="D26:F26"/>
    <mergeCell ref="D27:F27"/>
    <mergeCell ref="D28:F28"/>
    <mergeCell ref="D29:F29"/>
    <mergeCell ref="D31:F31"/>
    <mergeCell ref="D32:F32"/>
    <mergeCell ref="D16:F16"/>
    <mergeCell ref="D19:F19"/>
  </mergeCells>
  <dataValidations count="3">
    <dataValidation type="list" allowBlank="1" showInputMessage="1" showErrorMessage="1" sqref="D16">
      <formula1>"First,Second,Third,Fourth,Fifth,Sixth"</formula1>
    </dataValidation>
    <dataValidation type="list" allowBlank="1" showInputMessage="1" showErrorMessage="1" sqref="D17:D18">
      <formula1>"01,02,03,04,05,06,07,08,09,10,11,12,13,14,15,16,17,18,19,20,21,22,23,24,25,26,27,28,29,30,31"</formula1>
    </dataValidation>
    <dataValidation type="list" allowBlank="1" showInputMessage="1" showErrorMessage="1" sqref="E17:E18">
      <formula1>"JAN,FEB,MAR,APR,MAY,JUN,JUL,AUG,SEP,OCT,NOV,DEC"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AC21"/>
  <sheetViews>
    <sheetView zoomScale="90" zoomScaleNormal="90" zoomScalePageLayoutView="0" workbookViewId="0" topLeftCell="A1">
      <selection activeCell="K14" sqref="K14"/>
    </sheetView>
  </sheetViews>
  <sheetFormatPr defaultColWidth="8.88671875" defaultRowHeight="18.75"/>
  <cols>
    <col min="2" max="2" width="56.4453125" style="0" customWidth="1"/>
    <col min="3" max="3" width="11.3359375" style="0" customWidth="1"/>
    <col min="4" max="4" width="14.5546875" style="0" customWidth="1"/>
    <col min="5" max="5" width="14.21484375" style="0" customWidth="1"/>
    <col min="6" max="6" width="10.10546875" style="0" customWidth="1"/>
    <col min="7" max="7" width="6.88671875" style="0" customWidth="1"/>
    <col min="8" max="8" width="2.5546875" style="0" customWidth="1"/>
    <col min="9" max="9" width="7.21484375" style="0" customWidth="1"/>
    <col min="13" max="13" width="0" style="0" hidden="1" customWidth="1"/>
    <col min="20" max="22" width="8.88671875" style="0" hidden="1" customWidth="1"/>
    <col min="23" max="23" width="11.99609375" style="120" customWidth="1"/>
    <col min="24" max="24" width="12.3359375" style="120" customWidth="1"/>
    <col min="26" max="26" width="1.5625" style="0" customWidth="1"/>
    <col min="27" max="27" width="17.10546875" style="0" hidden="1" customWidth="1"/>
    <col min="28" max="29" width="0" style="0" hidden="1" customWidth="1"/>
  </cols>
  <sheetData>
    <row r="1" spans="2:29" ht="36" customHeight="1" thickBot="1">
      <c r="B1" s="965" t="str">
        <f>CONCATENATE('Basic Details'!D3," ",'Basic Details'!D4)</f>
        <v>SETH R.L.SAHARIA GOVT. P.G. COLLEGE KALADERA KALADERA (JAIPUR)</v>
      </c>
      <c r="C1" s="965"/>
      <c r="D1" s="965"/>
      <c r="E1" s="965"/>
      <c r="F1" s="965"/>
      <c r="G1" s="965"/>
      <c r="H1" s="965"/>
      <c r="I1" s="966"/>
      <c r="J1" s="346"/>
      <c r="K1" s="263"/>
      <c r="U1">
        <v>0</v>
      </c>
      <c r="V1" t="s">
        <v>168</v>
      </c>
      <c r="W1" s="236"/>
      <c r="X1" s="237"/>
      <c r="AA1" s="389" t="s">
        <v>196</v>
      </c>
      <c r="AB1" s="389" t="s">
        <v>197</v>
      </c>
      <c r="AC1" s="389" t="s">
        <v>198</v>
      </c>
    </row>
    <row r="2" spans="2:29" ht="29.25" customHeight="1" thickBot="1">
      <c r="B2" s="967" t="s">
        <v>246</v>
      </c>
      <c r="C2" s="967"/>
      <c r="D2" s="967"/>
      <c r="E2" s="967"/>
      <c r="F2" s="967"/>
      <c r="G2" s="967"/>
      <c r="H2" s="967"/>
      <c r="I2" s="968"/>
      <c r="J2" s="346"/>
      <c r="K2" s="263"/>
      <c r="U2">
        <v>1.5</v>
      </c>
      <c r="V2" t="s">
        <v>168</v>
      </c>
      <c r="W2" s="238"/>
      <c r="X2" s="239"/>
      <c r="AA2" s="390" t="s">
        <v>199</v>
      </c>
      <c r="AB2" s="390" t="s">
        <v>180</v>
      </c>
      <c r="AC2" s="390" t="s">
        <v>200</v>
      </c>
    </row>
    <row r="3" spans="2:29" ht="30" customHeight="1" thickBot="1">
      <c r="B3" s="969" t="str">
        <f>CONCATENATE("Inspection Phase : ",'Basic Details'!D16," for Session : 2019-20 and Inspection Dates : ",'Basic Details'!D17,"-",'Basic Details'!E17,"-",'Basic Details'!F17," and ",'Basic Details'!D18,"-",'Basic Details'!E18,"-",'Basic Details'!F18)</f>
        <v>Inspection Phase : First for Session : 2019-20 and Inspection Dates : 17-MAR-2020 and 18-MAR-2020</v>
      </c>
      <c r="C3" s="969"/>
      <c r="D3" s="969"/>
      <c r="E3" s="969"/>
      <c r="F3" s="969"/>
      <c r="G3" s="969"/>
      <c r="H3" s="969"/>
      <c r="I3" s="969"/>
      <c r="K3" s="263"/>
      <c r="U3">
        <v>1.5001</v>
      </c>
      <c r="V3" t="s">
        <v>167</v>
      </c>
      <c r="W3" s="238"/>
      <c r="X3" s="239"/>
      <c r="AA3" s="390" t="s">
        <v>201</v>
      </c>
      <c r="AB3" s="390" t="s">
        <v>181</v>
      </c>
      <c r="AC3" s="390" t="s">
        <v>200</v>
      </c>
    </row>
    <row r="4" spans="2:29" ht="132" thickBot="1">
      <c r="B4" s="179" t="s">
        <v>160</v>
      </c>
      <c r="C4" s="179" t="s">
        <v>177</v>
      </c>
      <c r="D4" s="179" t="s">
        <v>178</v>
      </c>
      <c r="E4" s="179" t="s">
        <v>179</v>
      </c>
      <c r="F4" s="179" t="s">
        <v>187</v>
      </c>
      <c r="G4" s="962" t="s">
        <v>222</v>
      </c>
      <c r="H4" s="963"/>
      <c r="I4" s="964"/>
      <c r="K4" s="263"/>
      <c r="M4" s="198" t="s">
        <v>171</v>
      </c>
      <c r="U4">
        <v>2</v>
      </c>
      <c r="V4" t="s">
        <v>167</v>
      </c>
      <c r="W4" s="238"/>
      <c r="X4" s="239"/>
      <c r="AA4" s="390" t="s">
        <v>202</v>
      </c>
      <c r="AB4" s="390" t="s">
        <v>165</v>
      </c>
      <c r="AC4" s="390" t="s">
        <v>200</v>
      </c>
    </row>
    <row r="5" spans="2:29" ht="27" thickBot="1">
      <c r="B5" s="506" t="str">
        <f>+Input!A7</f>
        <v>A. Teaching and Learning</v>
      </c>
      <c r="C5" s="222">
        <f>SUM(Input!I7:I37)</f>
        <v>35</v>
      </c>
      <c r="D5" s="185">
        <f>SUM('Result KeyFactorwise'!D5:D9)</f>
        <v>78.5</v>
      </c>
      <c r="E5" s="334">
        <f aca="true" t="shared" si="0" ref="E5:E10">IF(C5="","",ROUND(D5/C5,3))</f>
        <v>2.243</v>
      </c>
      <c r="F5" s="240" t="str">
        <f aca="true" t="shared" si="1" ref="F5:F10">IF(E5=0,"D",VLOOKUP(E5,$U$1:$V$21,2))</f>
        <v>B</v>
      </c>
      <c r="G5" s="514" t="str">
        <f>+'Result KeyFactorwise NAAC'!H5</f>
        <v>A-1</v>
      </c>
      <c r="H5" s="515" t="s">
        <v>220</v>
      </c>
      <c r="I5" s="516" t="str">
        <f>+'Result KeyFactorwise NAAC'!J9</f>
        <v>P31</v>
      </c>
      <c r="K5" s="263"/>
      <c r="M5" s="199" t="s">
        <v>165</v>
      </c>
      <c r="U5">
        <v>2.001</v>
      </c>
      <c r="V5" t="s">
        <v>166</v>
      </c>
      <c r="W5" s="238"/>
      <c r="X5" s="239"/>
      <c r="AA5" s="390" t="s">
        <v>203</v>
      </c>
      <c r="AB5" s="390" t="s">
        <v>182</v>
      </c>
      <c r="AC5" s="390" t="s">
        <v>200</v>
      </c>
    </row>
    <row r="6" spans="2:29" ht="27" thickBot="1">
      <c r="B6" s="507" t="str">
        <f>+Input!A38</f>
        <v>B. Research and Professional Practices</v>
      </c>
      <c r="C6" s="183">
        <f>SUM(Input!I38:I50)</f>
        <v>15</v>
      </c>
      <c r="D6" s="223">
        <f>SUM('Result KeyFactorwise'!D10:D11)</f>
        <v>27.5</v>
      </c>
      <c r="E6" s="335">
        <f t="shared" si="0"/>
        <v>1.833</v>
      </c>
      <c r="F6" s="240" t="str">
        <f t="shared" si="1"/>
        <v>C</v>
      </c>
      <c r="G6" s="514" t="str">
        <f>+'Result KeyFactorwise NAAC'!H10</f>
        <v>B-1</v>
      </c>
      <c r="H6" s="515" t="s">
        <v>220</v>
      </c>
      <c r="I6" s="516">
        <f>+'Result KeyFactorwise NAAC'!J11</f>
        <v>0</v>
      </c>
      <c r="K6" s="263"/>
      <c r="M6" s="200" t="s">
        <v>166</v>
      </c>
      <c r="U6">
        <v>2.5</v>
      </c>
      <c r="V6" t="s">
        <v>166</v>
      </c>
      <c r="W6" s="238"/>
      <c r="X6" s="239"/>
      <c r="AA6" s="390" t="s">
        <v>204</v>
      </c>
      <c r="AB6" s="390" t="s">
        <v>183</v>
      </c>
      <c r="AC6" s="390" t="s">
        <v>200</v>
      </c>
    </row>
    <row r="7" spans="2:29" ht="27" thickBot="1">
      <c r="B7" s="508" t="str">
        <f>+Input!A51</f>
        <v>C. Infrastructure and Learning Resources</v>
      </c>
      <c r="C7" s="191">
        <f>SUM(Input!I51:I74)</f>
        <v>15</v>
      </c>
      <c r="D7" s="224">
        <f>SUM('Result KeyFactorwise'!D12:D13)</f>
        <v>50</v>
      </c>
      <c r="E7" s="336">
        <f t="shared" si="0"/>
        <v>3.333</v>
      </c>
      <c r="F7" s="240" t="str">
        <f t="shared" si="1"/>
        <v>A+</v>
      </c>
      <c r="G7" s="514" t="str">
        <f>+'Result KeyFactorwise NAAC'!H12</f>
        <v>C-1</v>
      </c>
      <c r="H7" s="515" t="s">
        <v>220</v>
      </c>
      <c r="I7" s="516" t="str">
        <f>+'Result KeyFactorwise NAAC'!J13</f>
        <v>P5-10</v>
      </c>
      <c r="K7" s="263"/>
      <c r="M7" s="201" t="s">
        <v>167</v>
      </c>
      <c r="U7">
        <v>2.5001</v>
      </c>
      <c r="V7" s="234" t="s">
        <v>183</v>
      </c>
      <c r="W7" s="238"/>
      <c r="X7" s="239"/>
      <c r="AA7" s="390" t="s">
        <v>205</v>
      </c>
      <c r="AB7" s="390" t="s">
        <v>166</v>
      </c>
      <c r="AC7" s="390" t="s">
        <v>200</v>
      </c>
    </row>
    <row r="8" spans="2:29" ht="27" thickBot="1">
      <c r="B8" s="509" t="str">
        <f>+Input!A75</f>
        <v>D. Student Support and participation</v>
      </c>
      <c r="C8" s="193">
        <f>SUM(Input!I75:I107)</f>
        <v>10</v>
      </c>
      <c r="D8" s="376">
        <f>SUM('Result KeyFactorwise'!D14:D15)</f>
        <v>34</v>
      </c>
      <c r="E8" s="337">
        <f t="shared" si="0"/>
        <v>3.4</v>
      </c>
      <c r="F8" s="240" t="str">
        <f t="shared" si="1"/>
        <v>A+</v>
      </c>
      <c r="G8" s="514" t="str">
        <f>+'Result KeyFactorwise NAAC'!H14</f>
        <v>D-1</v>
      </c>
      <c r="H8" s="515" t="s">
        <v>220</v>
      </c>
      <c r="I8" s="516" t="str">
        <f>+'Result KeyFactorwise NAAC'!J15</f>
        <v>P153</v>
      </c>
      <c r="K8" s="263"/>
      <c r="M8" s="202" t="s">
        <v>168</v>
      </c>
      <c r="U8">
        <v>2.75</v>
      </c>
      <c r="V8" s="234" t="s">
        <v>183</v>
      </c>
      <c r="W8" s="238"/>
      <c r="X8" s="239"/>
      <c r="AA8" s="390" t="s">
        <v>206</v>
      </c>
      <c r="AB8" s="390" t="s">
        <v>167</v>
      </c>
      <c r="AC8" s="390" t="s">
        <v>200</v>
      </c>
    </row>
    <row r="9" spans="2:29" ht="27" customHeight="1" thickBot="1">
      <c r="B9" s="510" t="str">
        <f>+Input!A108</f>
        <v>E. Financial Resources and Utilisation</v>
      </c>
      <c r="C9" s="372">
        <f>SUM(Input!I108:I112)</f>
        <v>10</v>
      </c>
      <c r="D9" s="372">
        <f>SUM('Result KeyFactorwise'!D16:D17)</f>
        <v>26</v>
      </c>
      <c r="E9" s="375">
        <f t="shared" si="0"/>
        <v>2.6</v>
      </c>
      <c r="F9" s="240" t="str">
        <f t="shared" si="1"/>
        <v>B+</v>
      </c>
      <c r="G9" s="514" t="str">
        <f>+'Result KeyFactorwise NAAC'!H16</f>
        <v>E1</v>
      </c>
      <c r="H9" s="515" t="s">
        <v>220</v>
      </c>
      <c r="I9" s="516">
        <f>+'Result KeyFactorwise NAAC'!J17</f>
        <v>0</v>
      </c>
      <c r="K9" s="263"/>
      <c r="M9" s="203" t="s">
        <v>169</v>
      </c>
      <c r="U9">
        <v>2.7501</v>
      </c>
      <c r="V9" s="234" t="s">
        <v>182</v>
      </c>
      <c r="AA9" s="390" t="s">
        <v>207</v>
      </c>
      <c r="AB9" s="390" t="s">
        <v>168</v>
      </c>
      <c r="AC9" s="390" t="s">
        <v>208</v>
      </c>
    </row>
    <row r="10" spans="2:22" ht="27" thickBot="1">
      <c r="B10" s="511" t="str">
        <f>+Input!A113</f>
        <v>F. Commitment, Leadership and Management</v>
      </c>
      <c r="C10" s="195">
        <f>SUM(Input!I113:I137)</f>
        <v>15</v>
      </c>
      <c r="D10" s="377">
        <f>SUM('Result KeyFactorwise'!D18:D21)</f>
        <v>30</v>
      </c>
      <c r="E10" s="338">
        <f t="shared" si="0"/>
        <v>2</v>
      </c>
      <c r="F10" s="240" t="str">
        <f t="shared" si="1"/>
        <v>C</v>
      </c>
      <c r="G10" s="514">
        <f>+'Result KeyFactorwise NAAC'!H18</f>
        <v>0</v>
      </c>
      <c r="H10" s="515" t="s">
        <v>220</v>
      </c>
      <c r="I10" s="516">
        <f>+'Result KeyFactorwise NAAC'!J21</f>
        <v>0</v>
      </c>
      <c r="K10" s="263"/>
      <c r="M10" s="204" t="s">
        <v>170</v>
      </c>
      <c r="U10">
        <v>3</v>
      </c>
      <c r="V10" s="234" t="s">
        <v>182</v>
      </c>
    </row>
    <row r="11" spans="2:22" ht="31.5" thickBot="1">
      <c r="B11" s="186" t="s">
        <v>158</v>
      </c>
      <c r="C11" s="187">
        <f>IF(SUM(C5:C10)=0,"",SUM(C5:C10))</f>
        <v>100</v>
      </c>
      <c r="D11" s="187">
        <f>IF(SUM(D5:D10)=0,"",SUM(D5:D10))</f>
        <v>246</v>
      </c>
      <c r="E11" s="339">
        <f>IF(SUM(E5:E10)=0,"",SUM(E5:E10))</f>
        <v>15.408999999999999</v>
      </c>
      <c r="F11" s="970"/>
      <c r="G11" s="971"/>
      <c r="H11" s="971"/>
      <c r="I11" s="972"/>
      <c r="K11" s="263"/>
      <c r="U11">
        <v>3.001</v>
      </c>
      <c r="V11" s="234" t="s">
        <v>165</v>
      </c>
    </row>
    <row r="12" spans="6:22" ht="7.5" customHeight="1" thickBot="1">
      <c r="F12" s="569"/>
      <c r="G12" s="569"/>
      <c r="H12" s="569"/>
      <c r="I12" s="569"/>
      <c r="K12" s="263"/>
      <c r="U12">
        <v>3.25</v>
      </c>
      <c r="V12" s="234" t="s">
        <v>165</v>
      </c>
    </row>
    <row r="13" spans="2:22" ht="38.25" thickBot="1">
      <c r="B13" s="960" t="str">
        <f>IF(D13="","","Institutional CGPA &amp; GRADE")</f>
        <v>Institutional CGPA &amp; GRADE</v>
      </c>
      <c r="C13" s="961"/>
      <c r="D13" s="235">
        <f>IF(E11="","",ROUND(D11/C11,4))</f>
        <v>2.46</v>
      </c>
      <c r="E13" s="235" t="str">
        <f>IF(D13="","",VLOOKUP(D13,U1:V21,2))</f>
        <v>B</v>
      </c>
      <c r="F13" s="970"/>
      <c r="G13" s="971"/>
      <c r="H13" s="971"/>
      <c r="I13" s="972"/>
      <c r="K13" s="263"/>
      <c r="U13">
        <v>3.2501</v>
      </c>
      <c r="V13" s="234" t="s">
        <v>181</v>
      </c>
    </row>
    <row r="14" spans="2:22" ht="13.5" customHeight="1" thickBot="1">
      <c r="B14" s="512"/>
      <c r="C14" s="512"/>
      <c r="D14" s="513"/>
      <c r="E14" s="513"/>
      <c r="F14" s="347"/>
      <c r="G14" s="347"/>
      <c r="H14" s="347"/>
      <c r="I14" s="347"/>
      <c r="K14" s="263"/>
      <c r="V14" s="234"/>
    </row>
    <row r="15" spans="2:22" ht="44.25" customHeight="1" thickBot="1">
      <c r="B15" s="973" t="str">
        <f>CONCATENATE("1. ",'Basic Details'!D19,", ",'Basic Details'!D20,", ",'Basic Details'!D22,", ",'Basic Details'!D23,", Mobile No. : ",'Basic Details'!D21)</f>
        <v>1. DR. RAFIQUE MOHAMMED QURESHI, PRINCIPAL, GOVT. COLLEGE KOTA, KOTA, Mobile No. : 9414329536</v>
      </c>
      <c r="C15" s="974"/>
      <c r="D15" s="975"/>
      <c r="E15" s="628" t="s">
        <v>244</v>
      </c>
      <c r="F15" s="976"/>
      <c r="G15" s="977"/>
      <c r="H15" s="977"/>
      <c r="I15" s="978"/>
      <c r="K15" s="263"/>
      <c r="V15" s="234"/>
    </row>
    <row r="16" spans="2:22" ht="42" customHeight="1" thickBot="1">
      <c r="B16" s="973" t="str">
        <f>CONCATENATE("2. ",'Basic Details'!D24,", ",'Basic Details'!D25,", ",'Basic Details'!D27,", ",'Basic Details'!D28,", Mobile No. : ",'Basic Details'!D26)</f>
        <v>2. DR. CHHABI MITTAL, ASSOCIATE PROFESSOR, S.P.C. GOVT. COLLEGE AJMER, AJMER, Mobile No. : 9461190965</v>
      </c>
      <c r="C16" s="974"/>
      <c r="D16" s="975"/>
      <c r="E16" s="628" t="s">
        <v>249</v>
      </c>
      <c r="F16" s="976"/>
      <c r="G16" s="977"/>
      <c r="H16" s="977"/>
      <c r="I16" s="978"/>
      <c r="K16" s="263"/>
      <c r="V16" s="234"/>
    </row>
    <row r="17" spans="2:22" ht="45" customHeight="1" thickBot="1">
      <c r="B17" s="973" t="str">
        <f>CONCATENATE("3. ",'Basic Details'!D29,", ",'Basic Details'!D30,", ",'Basic Details'!D32,", ",'Basic Details'!D33,", Mobile No. : ",'Basic Details'!D31)</f>
        <v>3. DR. SUNIL KUMAR GOYAL, ASSISTANT PROFESSOR, S.P.C. GOVT. COLLEGE AJMER, AJMER, Mobile No. : 9887165968</v>
      </c>
      <c r="C17" s="974"/>
      <c r="D17" s="975"/>
      <c r="E17" s="628" t="s">
        <v>245</v>
      </c>
      <c r="F17" s="976"/>
      <c r="G17" s="977"/>
      <c r="H17" s="977"/>
      <c r="I17" s="978"/>
      <c r="K17" s="263"/>
      <c r="V17" s="234"/>
    </row>
    <row r="18" spans="1:22" ht="30.75" customHeight="1" thickBot="1">
      <c r="A18" s="221"/>
      <c r="B18" s="979" t="s">
        <v>373</v>
      </c>
      <c r="C18" s="980"/>
      <c r="D18" s="980"/>
      <c r="E18" s="981"/>
      <c r="F18" s="982"/>
      <c r="G18" s="982"/>
      <c r="H18" s="982"/>
      <c r="I18" s="983"/>
      <c r="J18" s="221"/>
      <c r="K18" s="263"/>
      <c r="V18" s="234"/>
    </row>
    <row r="19" spans="2:22" ht="45.75" customHeight="1" thickBot="1">
      <c r="B19" s="973" t="str">
        <f>CONCATENATE('Basic Details'!D6,", Principal, ",'Basic Details'!D3,", ",'Basic Details'!D4," (",'Basic Details'!D5,"), Mobile No. : ",'Basic Details'!D7)</f>
        <v>DR. L.P.MAHAWAR, Principal, SETH R.L.SAHARIA GOVT. P.G. COLLEGE KALADERA, KALADERA (JAIPUR) (16), Mobile No. : 9414280324</v>
      </c>
      <c r="C19" s="974"/>
      <c r="D19" s="975"/>
      <c r="E19" s="976"/>
      <c r="F19" s="977"/>
      <c r="G19" s="977"/>
      <c r="H19" s="977"/>
      <c r="I19" s="978"/>
      <c r="K19" s="263"/>
      <c r="V19" s="234"/>
    </row>
    <row r="20" spans="1:22" ht="19.5" thickBo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U20">
        <v>3.501</v>
      </c>
      <c r="V20" s="234" t="s">
        <v>180</v>
      </c>
    </row>
    <row r="21" spans="1:22" ht="18.75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U21">
        <v>4</v>
      </c>
      <c r="V21" s="234" t="s">
        <v>180</v>
      </c>
    </row>
  </sheetData>
  <sheetProtection password="EAF4" sheet="1" objects="1" scenarios="1" selectLockedCells="1"/>
  <mergeCells count="17">
    <mergeCell ref="B15:D15"/>
    <mergeCell ref="F15:I15"/>
    <mergeCell ref="F16:I16"/>
    <mergeCell ref="F17:I17"/>
    <mergeCell ref="B19:D19"/>
    <mergeCell ref="E19:I19"/>
    <mergeCell ref="B16:D16"/>
    <mergeCell ref="B17:D17"/>
    <mergeCell ref="B18:D18"/>
    <mergeCell ref="E18:I18"/>
    <mergeCell ref="B13:C13"/>
    <mergeCell ref="G4:I4"/>
    <mergeCell ref="B1:I1"/>
    <mergeCell ref="B2:I2"/>
    <mergeCell ref="B3:I3"/>
    <mergeCell ref="F11:I11"/>
    <mergeCell ref="F13:I13"/>
  </mergeCells>
  <conditionalFormatting sqref="F5:F10">
    <cfRule type="cellIs" priority="7" dxfId="126" operator="equal">
      <formula>"D"</formula>
    </cfRule>
    <cfRule type="cellIs" priority="8" dxfId="28" operator="lessThan">
      <formula>50.001</formula>
    </cfRule>
    <cfRule type="cellIs" priority="9" dxfId="41" operator="greaterThan">
      <formula>50</formula>
    </cfRule>
  </conditionalFormatting>
  <conditionalFormatting sqref="D9">
    <cfRule type="cellIs" priority="6" dxfId="127" operator="equal">
      <formula>0</formula>
    </cfRule>
  </conditionalFormatting>
  <conditionalFormatting sqref="D5">
    <cfRule type="cellIs" priority="5" dxfId="128" operator="equal">
      <formula>0</formula>
    </cfRule>
  </conditionalFormatting>
  <conditionalFormatting sqref="D6">
    <cfRule type="cellIs" priority="4" dxfId="129" operator="equal">
      <formula>0</formula>
    </cfRule>
  </conditionalFormatting>
  <conditionalFormatting sqref="D7">
    <cfRule type="cellIs" priority="3" dxfId="130" operator="equal">
      <formula>0</formula>
    </cfRule>
  </conditionalFormatting>
  <conditionalFormatting sqref="D8">
    <cfRule type="cellIs" priority="2" dxfId="131" operator="equal">
      <formula>0</formula>
    </cfRule>
  </conditionalFormatting>
  <conditionalFormatting sqref="D10">
    <cfRule type="cellIs" priority="1" dxfId="132" operator="equal">
      <formula>0</formula>
    </cfRule>
  </conditionalFormatting>
  <printOptions horizontalCentered="1"/>
  <pageMargins left="0.196850393700787" right="0.196850393700787" top="0.236220472440945" bottom="0.236220472440945" header="0.31496062992126" footer="0.31496062992126"/>
  <pageSetup blackAndWhite="1" fitToHeight="1" fitToWidth="1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X40"/>
  <sheetViews>
    <sheetView zoomScale="80" zoomScaleNormal="80" zoomScalePageLayoutView="0" workbookViewId="0" topLeftCell="A1">
      <pane xSplit="1" ySplit="4" topLeftCell="B39" activePane="bottomRight" state="frozen"/>
      <selection pane="topLeft" activeCell="H9" sqref="H9"/>
      <selection pane="topRight" activeCell="H9" sqref="H9"/>
      <selection pane="bottomLeft" activeCell="H9" sqref="H9"/>
      <selection pane="bottomRight" activeCell="K15" sqref="K15"/>
    </sheetView>
  </sheetViews>
  <sheetFormatPr defaultColWidth="8.88671875" defaultRowHeight="18.75"/>
  <cols>
    <col min="1" max="1" width="13.4453125" style="197" customWidth="1"/>
    <col min="2" max="2" width="44.3359375" style="0" customWidth="1"/>
    <col min="3" max="3" width="12.6640625" style="2" customWidth="1"/>
    <col min="4" max="4" width="12.4453125" style="2" customWidth="1"/>
    <col min="5" max="5" width="15.10546875" style="2" customWidth="1"/>
    <col min="6" max="6" width="10.3359375" style="2" customWidth="1"/>
    <col min="7" max="7" width="11.4453125" style="0" hidden="1" customWidth="1"/>
    <col min="8" max="8" width="7.88671875" style="2" customWidth="1"/>
    <col min="9" max="9" width="3.4453125" style="2" customWidth="1"/>
    <col min="10" max="10" width="7.88671875" style="2" customWidth="1"/>
    <col min="20" max="21" width="0" style="0" hidden="1" customWidth="1"/>
  </cols>
  <sheetData>
    <row r="1" spans="1:21" s="225" customFormat="1" ht="42" customHeight="1">
      <c r="A1" s="988" t="str">
        <f>+Result!B1</f>
        <v>SETH R.L.SAHARIA GOVT. P.G. COLLEGE KALADERA KALADERA (JAIPUR)</v>
      </c>
      <c r="B1" s="988"/>
      <c r="C1" s="988"/>
      <c r="D1" s="988"/>
      <c r="E1" s="988"/>
      <c r="F1" s="988"/>
      <c r="G1" s="988"/>
      <c r="H1" s="988"/>
      <c r="I1" s="988"/>
      <c r="J1" s="988"/>
      <c r="K1" s="263"/>
      <c r="L1"/>
      <c r="M1"/>
      <c r="T1">
        <v>0</v>
      </c>
      <c r="U1" t="s">
        <v>168</v>
      </c>
    </row>
    <row r="2" spans="1:21" ht="38.25" customHeight="1">
      <c r="A2" s="989" t="str">
        <f>+'Result NAAC'!B2</f>
        <v>Assessment Matrix for Annual Auditing Programe : Final Report</v>
      </c>
      <c r="B2" s="989"/>
      <c r="C2" s="989"/>
      <c r="D2" s="989"/>
      <c r="E2" s="989"/>
      <c r="F2" s="989"/>
      <c r="G2" s="989"/>
      <c r="H2" s="989"/>
      <c r="I2" s="989"/>
      <c r="J2" s="989"/>
      <c r="K2" s="263"/>
      <c r="T2">
        <v>1.5</v>
      </c>
      <c r="U2" t="s">
        <v>168</v>
      </c>
    </row>
    <row r="3" spans="1:21" ht="41.25" customHeight="1" thickBot="1">
      <c r="A3" s="990" t="str">
        <f>+'Result NAAC'!B3</f>
        <v>Inspection Phase : First for Session : 2019-20 and Inspection Dates : 17-MAR-2020 and 18-MAR-2020</v>
      </c>
      <c r="B3" s="990"/>
      <c r="C3" s="990"/>
      <c r="D3" s="990"/>
      <c r="E3" s="990"/>
      <c r="F3" s="990"/>
      <c r="G3" s="990"/>
      <c r="H3" s="990"/>
      <c r="I3" s="990"/>
      <c r="J3" s="990"/>
      <c r="K3" s="263"/>
      <c r="T3">
        <v>1.5001</v>
      </c>
      <c r="U3" t="s">
        <v>167</v>
      </c>
    </row>
    <row r="4" spans="1:21" ht="105.75" thickBot="1">
      <c r="A4" s="609" t="s">
        <v>0</v>
      </c>
      <c r="B4" s="328" t="s">
        <v>173</v>
      </c>
      <c r="C4" s="329" t="s">
        <v>177</v>
      </c>
      <c r="D4" s="329" t="s">
        <v>178</v>
      </c>
      <c r="E4" s="329" t="s">
        <v>179</v>
      </c>
      <c r="F4" s="329" t="s">
        <v>187</v>
      </c>
      <c r="G4" s="198" t="s">
        <v>189</v>
      </c>
      <c r="H4" s="962" t="s">
        <v>222</v>
      </c>
      <c r="I4" s="963"/>
      <c r="J4" s="964"/>
      <c r="K4" s="263"/>
      <c r="T4">
        <v>2</v>
      </c>
      <c r="U4" t="s">
        <v>167</v>
      </c>
    </row>
    <row r="5" spans="1:21" ht="34.5" customHeight="1" thickBot="1" thickTop="1">
      <c r="A5" s="998" t="s">
        <v>185</v>
      </c>
      <c r="B5" s="610" t="s">
        <v>7</v>
      </c>
      <c r="C5" s="571">
        <f>SUM(Input!I7:I8)</f>
        <v>5.5</v>
      </c>
      <c r="D5" s="588">
        <f>Input!BK8</f>
        <v>16.5</v>
      </c>
      <c r="E5" s="593">
        <f>IF(C5="","",ROUND(D5/C5,3))</f>
        <v>3</v>
      </c>
      <c r="F5" s="330" t="str">
        <f aca="true" t="shared" si="0" ref="F5:F21">IF(E5=0,"D",VLOOKUP(E5,$T$1:$U$16,2))</f>
        <v>B++</v>
      </c>
      <c r="H5" s="514" t="str">
        <f>+Input!AA7</f>
        <v>A-1</v>
      </c>
      <c r="I5" s="515" t="s">
        <v>220</v>
      </c>
      <c r="J5" s="516" t="str">
        <f>+Input!AC8</f>
        <v>P6-7</v>
      </c>
      <c r="K5" s="263"/>
      <c r="T5">
        <v>2.001</v>
      </c>
      <c r="U5" t="s">
        <v>166</v>
      </c>
    </row>
    <row r="6" spans="1:21" ht="34.5" customHeight="1" thickBot="1">
      <c r="A6" s="999"/>
      <c r="B6" s="611" t="s">
        <v>8</v>
      </c>
      <c r="C6" s="572">
        <f>SUM(Input!I9:I19)</f>
        <v>9</v>
      </c>
      <c r="D6" s="572">
        <f>Input!BK19</f>
        <v>15</v>
      </c>
      <c r="E6" s="594">
        <f>IF(C6="","",ROUND(D6/C6,3))</f>
        <v>1.667</v>
      </c>
      <c r="F6" s="331" t="str">
        <f t="shared" si="0"/>
        <v>C</v>
      </c>
      <c r="H6" s="514" t="str">
        <f>+Input!AA9</f>
        <v>A-2</v>
      </c>
      <c r="I6" s="515" t="s">
        <v>220</v>
      </c>
      <c r="J6" s="516" t="str">
        <f>+Input!AC19</f>
        <v>P10-11</v>
      </c>
      <c r="K6" s="263"/>
      <c r="T6">
        <v>2.5</v>
      </c>
      <c r="U6" t="s">
        <v>166</v>
      </c>
    </row>
    <row r="7" spans="1:21" ht="34.5" customHeight="1" thickBot="1">
      <c r="A7" s="999"/>
      <c r="B7" s="611" t="s">
        <v>9</v>
      </c>
      <c r="C7" s="572">
        <f>SUM(Input!I20:I25)</f>
        <v>5.5</v>
      </c>
      <c r="D7" s="572">
        <f>Input!BK25</f>
        <v>11.5</v>
      </c>
      <c r="E7" s="594">
        <f>IF(C7="","",ROUND(D7/C7,3))</f>
        <v>2.091</v>
      </c>
      <c r="F7" s="331" t="str">
        <f t="shared" si="0"/>
        <v>B</v>
      </c>
      <c r="H7" s="514" t="str">
        <f>+Input!AA20</f>
        <v>A-3</v>
      </c>
      <c r="I7" s="515" t="s">
        <v>220</v>
      </c>
      <c r="J7" s="516" t="str">
        <f>+Input!AC25</f>
        <v>P16-18</v>
      </c>
      <c r="K7" s="263"/>
      <c r="T7">
        <v>2.5001</v>
      </c>
      <c r="U7" s="234" t="s">
        <v>183</v>
      </c>
    </row>
    <row r="8" spans="1:21" ht="45" customHeight="1" thickBot="1">
      <c r="A8" s="999"/>
      <c r="B8" s="612" t="s">
        <v>10</v>
      </c>
      <c r="C8" s="572">
        <f>SUM(Input!I26:I34)</f>
        <v>9</v>
      </c>
      <c r="D8" s="572">
        <f>Input!BK34</f>
        <v>23.5</v>
      </c>
      <c r="E8" s="594">
        <f>IF(C8="","",ROUND(D8/C8,3))</f>
        <v>2.611</v>
      </c>
      <c r="F8" s="331" t="str">
        <f t="shared" si="0"/>
        <v>B+</v>
      </c>
      <c r="H8" s="514" t="str">
        <f>+Input!AA26</f>
        <v>A-4</v>
      </c>
      <c r="I8" s="515" t="s">
        <v>220</v>
      </c>
      <c r="J8" s="516" t="str">
        <f>+Input!AC34</f>
        <v>P28,28(a)-29</v>
      </c>
      <c r="K8" s="263"/>
      <c r="T8">
        <v>2.75</v>
      </c>
      <c r="U8" s="234" t="s">
        <v>183</v>
      </c>
    </row>
    <row r="9" spans="1:21" ht="45" customHeight="1" thickBot="1">
      <c r="A9" s="1000"/>
      <c r="B9" s="613" t="s">
        <v>11</v>
      </c>
      <c r="C9" s="573">
        <f>SUM(Input!I35:I37)</f>
        <v>6</v>
      </c>
      <c r="D9" s="573">
        <f>Input!BK37</f>
        <v>12</v>
      </c>
      <c r="E9" s="595">
        <f>IF(C9="","",ROUND(D9/C9,3))</f>
        <v>2</v>
      </c>
      <c r="F9" s="332" t="str">
        <f t="shared" si="0"/>
        <v>C</v>
      </c>
      <c r="H9" s="514" t="str">
        <f>+Input!AA35</f>
        <v>A-5</v>
      </c>
      <c r="I9" s="515" t="s">
        <v>220</v>
      </c>
      <c r="J9" s="516" t="str">
        <f>+Input!AC37</f>
        <v>P31</v>
      </c>
      <c r="K9" s="263"/>
      <c r="T9">
        <v>2.7501</v>
      </c>
      <c r="U9" s="234" t="s">
        <v>182</v>
      </c>
    </row>
    <row r="10" spans="1:21" ht="45" customHeight="1" thickBot="1" thickTop="1">
      <c r="A10" s="1001" t="s">
        <v>12</v>
      </c>
      <c r="B10" s="614" t="s">
        <v>13</v>
      </c>
      <c r="C10" s="574">
        <f>SUM(Input!I38:I47)</f>
        <v>12</v>
      </c>
      <c r="D10" s="589">
        <f>Input!BK47</f>
        <v>24.5</v>
      </c>
      <c r="E10" s="596">
        <f aca="true" t="shared" si="1" ref="E10:E21">IF(C10="","",ROUND(D10/C10,3))</f>
        <v>2.042</v>
      </c>
      <c r="F10" s="330" t="str">
        <f t="shared" si="0"/>
        <v>B</v>
      </c>
      <c r="H10" s="514" t="str">
        <f>+Input!AA38</f>
        <v>B-1</v>
      </c>
      <c r="I10" s="515" t="s">
        <v>220</v>
      </c>
      <c r="J10" s="516" t="str">
        <f>+Input!AC47</f>
        <v>None</v>
      </c>
      <c r="K10" s="263"/>
      <c r="T10">
        <v>3</v>
      </c>
      <c r="U10" s="234" t="s">
        <v>182</v>
      </c>
    </row>
    <row r="11" spans="1:21" ht="45" customHeight="1" thickBot="1">
      <c r="A11" s="1002"/>
      <c r="B11" s="615" t="s">
        <v>14</v>
      </c>
      <c r="C11" s="575">
        <f>SUM(Input!I48:I50)</f>
        <v>3</v>
      </c>
      <c r="D11" s="590">
        <f>Input!BK50</f>
        <v>3</v>
      </c>
      <c r="E11" s="597">
        <f t="shared" si="1"/>
        <v>1</v>
      </c>
      <c r="F11" s="332" t="str">
        <f t="shared" si="0"/>
        <v>D</v>
      </c>
      <c r="H11" s="514" t="str">
        <f>+Input!AA48</f>
        <v>B-2</v>
      </c>
      <c r="I11" s="515" t="s">
        <v>220</v>
      </c>
      <c r="J11" s="516">
        <f>+Input!AC50</f>
        <v>0</v>
      </c>
      <c r="K11" s="263"/>
      <c r="T11">
        <v>3.001</v>
      </c>
      <c r="U11" s="234" t="s">
        <v>165</v>
      </c>
    </row>
    <row r="12" spans="1:21" ht="45" customHeight="1" thickBot="1" thickTop="1">
      <c r="A12" s="1003" t="s">
        <v>15</v>
      </c>
      <c r="B12" s="616" t="s">
        <v>16</v>
      </c>
      <c r="C12" s="576">
        <f>SUM(Input!I51:I71)</f>
        <v>12.5</v>
      </c>
      <c r="D12" s="591">
        <f>Input!BK71</f>
        <v>42</v>
      </c>
      <c r="E12" s="598">
        <f t="shared" si="1"/>
        <v>3.36</v>
      </c>
      <c r="F12" s="330" t="str">
        <f t="shared" si="0"/>
        <v>A+</v>
      </c>
      <c r="G12" s="259" t="s">
        <v>167</v>
      </c>
      <c r="H12" s="514" t="str">
        <f>+Input!AA51</f>
        <v>C-1</v>
      </c>
      <c r="I12" s="515" t="s">
        <v>220</v>
      </c>
      <c r="J12" s="516" t="str">
        <f>+Input!AC71</f>
        <v>Physically Verified</v>
      </c>
      <c r="K12" s="263"/>
      <c r="T12">
        <v>3.25</v>
      </c>
      <c r="U12" s="234" t="s">
        <v>165</v>
      </c>
    </row>
    <row r="13" spans="1:21" ht="45" customHeight="1" thickBot="1">
      <c r="A13" s="1004"/>
      <c r="B13" s="617" t="s">
        <v>17</v>
      </c>
      <c r="C13" s="577">
        <f>SUM(Input!I72:I74)</f>
        <v>2.5</v>
      </c>
      <c r="D13" s="592">
        <f>Input!BK74</f>
        <v>8</v>
      </c>
      <c r="E13" s="599">
        <f t="shared" si="1"/>
        <v>3.2</v>
      </c>
      <c r="F13" s="332" t="str">
        <f t="shared" si="0"/>
        <v>A</v>
      </c>
      <c r="H13" s="514" t="str">
        <f>+Input!AA72</f>
        <v>C-2</v>
      </c>
      <c r="I13" s="515" t="s">
        <v>220</v>
      </c>
      <c r="J13" s="516" t="str">
        <f>+Input!AC74</f>
        <v>P5-10</v>
      </c>
      <c r="K13" s="263"/>
      <c r="T13">
        <v>3.2501</v>
      </c>
      <c r="U13" s="234" t="s">
        <v>181</v>
      </c>
    </row>
    <row r="14" spans="1:21" ht="45" customHeight="1" thickBot="1" thickTop="1">
      <c r="A14" s="991" t="s">
        <v>18</v>
      </c>
      <c r="B14" s="618" t="s">
        <v>19</v>
      </c>
      <c r="C14" s="578">
        <f>SUM(Input!I75:I84)</f>
        <v>3.5</v>
      </c>
      <c r="D14" s="578">
        <f>Input!BK84</f>
        <v>10</v>
      </c>
      <c r="E14" s="600">
        <f t="shared" si="1"/>
        <v>2.857</v>
      </c>
      <c r="F14" s="330" t="str">
        <f t="shared" si="0"/>
        <v>B++</v>
      </c>
      <c r="G14" s="259" t="s">
        <v>168</v>
      </c>
      <c r="H14" s="514" t="str">
        <f>+Input!AA75</f>
        <v>D-1</v>
      </c>
      <c r="I14" s="515" t="s">
        <v>220</v>
      </c>
      <c r="J14" s="516" t="str">
        <f>+Input!AC84</f>
        <v>P19,27</v>
      </c>
      <c r="K14" s="263"/>
      <c r="T14">
        <v>3.5</v>
      </c>
      <c r="U14" s="234" t="s">
        <v>181</v>
      </c>
    </row>
    <row r="15" spans="1:21" ht="45" customHeight="1" thickBot="1">
      <c r="A15" s="992"/>
      <c r="B15" s="619" t="s">
        <v>20</v>
      </c>
      <c r="C15" s="579">
        <f>SUM(Input!I85:I107)</f>
        <v>6.5</v>
      </c>
      <c r="D15" s="579">
        <f>Input!BK107</f>
        <v>24</v>
      </c>
      <c r="E15" s="601">
        <f t="shared" si="1"/>
        <v>3.692</v>
      </c>
      <c r="F15" s="332" t="str">
        <f t="shared" si="0"/>
        <v>A++</v>
      </c>
      <c r="H15" s="514">
        <f>+Input!AA85</f>
        <v>0</v>
      </c>
      <c r="I15" s="515" t="s">
        <v>220</v>
      </c>
      <c r="J15" s="516" t="str">
        <f>+Input!AC107</f>
        <v>P153</v>
      </c>
      <c r="K15" s="263"/>
      <c r="T15">
        <v>3.501</v>
      </c>
      <c r="U15" s="234" t="s">
        <v>180</v>
      </c>
    </row>
    <row r="16" spans="1:21" s="221" customFormat="1" ht="45" customHeight="1" thickBot="1" thickTop="1">
      <c r="A16" s="993" t="s">
        <v>21</v>
      </c>
      <c r="B16" s="620" t="s">
        <v>22</v>
      </c>
      <c r="C16" s="580">
        <f>SUM(Input!I108:I111)</f>
        <v>8</v>
      </c>
      <c r="D16" s="580">
        <f>Input!BK111</f>
        <v>26</v>
      </c>
      <c r="E16" s="602">
        <f t="shared" si="1"/>
        <v>3.25</v>
      </c>
      <c r="F16" s="330" t="str">
        <f t="shared" si="0"/>
        <v>A</v>
      </c>
      <c r="H16" s="514" t="str">
        <f>+Input!AA108</f>
        <v>E1</v>
      </c>
      <c r="I16" s="515" t="s">
        <v>220</v>
      </c>
      <c r="J16" s="516" t="str">
        <f>+Input!AC111</f>
        <v>P11-36</v>
      </c>
      <c r="K16" s="264"/>
      <c r="T16">
        <v>4</v>
      </c>
      <c r="U16" s="234" t="s">
        <v>180</v>
      </c>
    </row>
    <row r="17" spans="1:11" s="221" customFormat="1" ht="45" customHeight="1" thickBot="1">
      <c r="A17" s="994"/>
      <c r="B17" s="621" t="s">
        <v>23</v>
      </c>
      <c r="C17" s="581">
        <f>SUM(Input!I112)</f>
        <v>2</v>
      </c>
      <c r="D17" s="581">
        <f>Input!BK112</f>
        <v>0</v>
      </c>
      <c r="E17" s="603">
        <f t="shared" si="1"/>
        <v>0</v>
      </c>
      <c r="F17" s="332" t="str">
        <f t="shared" si="0"/>
        <v>D</v>
      </c>
      <c r="H17" s="514">
        <f>+Input!AA112</f>
        <v>0</v>
      </c>
      <c r="I17" s="515" t="s">
        <v>220</v>
      </c>
      <c r="J17" s="516">
        <f>+Input!AC112</f>
        <v>0</v>
      </c>
      <c r="K17" s="264"/>
    </row>
    <row r="18" spans="1:11" ht="45" customHeight="1" thickBot="1" thickTop="1">
      <c r="A18" s="995" t="s">
        <v>24</v>
      </c>
      <c r="B18" s="622" t="s">
        <v>25</v>
      </c>
      <c r="C18" s="582">
        <f>SUM(Input!I113:I115)</f>
        <v>1.5</v>
      </c>
      <c r="D18" s="582">
        <f>Input!BK115</f>
        <v>4</v>
      </c>
      <c r="E18" s="604">
        <f t="shared" si="1"/>
        <v>2.667</v>
      </c>
      <c r="F18" s="330" t="str">
        <f t="shared" si="0"/>
        <v>B+</v>
      </c>
      <c r="H18" s="514">
        <f>+Input!AA113</f>
        <v>0</v>
      </c>
      <c r="I18" s="515" t="s">
        <v>220</v>
      </c>
      <c r="J18" s="516" t="str">
        <f>+Input!AC115</f>
        <v>P9-31</v>
      </c>
      <c r="K18" s="263"/>
    </row>
    <row r="19" spans="1:11" ht="45" customHeight="1" thickBot="1">
      <c r="A19" s="996"/>
      <c r="B19" s="623" t="s">
        <v>26</v>
      </c>
      <c r="C19" s="583">
        <f>SUM(Input!I116:I123)</f>
        <v>4.5</v>
      </c>
      <c r="D19" s="583">
        <f>Input!BK123</f>
        <v>7.5</v>
      </c>
      <c r="E19" s="605">
        <f t="shared" si="1"/>
        <v>1.667</v>
      </c>
      <c r="F19" s="331" t="str">
        <f t="shared" si="0"/>
        <v>C</v>
      </c>
      <c r="H19" s="514" t="str">
        <f>+Input!AA116</f>
        <v>F-1</v>
      </c>
      <c r="I19" s="515" t="s">
        <v>220</v>
      </c>
      <c r="J19" s="516">
        <f>+Input!AC123</f>
        <v>0</v>
      </c>
      <c r="K19" s="263"/>
    </row>
    <row r="20" spans="1:11" ht="45" customHeight="1" thickBot="1">
      <c r="A20" s="996"/>
      <c r="B20" s="623" t="s">
        <v>27</v>
      </c>
      <c r="C20" s="583">
        <f>SUM(Input!I124:I131)</f>
        <v>6</v>
      </c>
      <c r="D20" s="583">
        <f>Input!BK131</f>
        <v>14.5</v>
      </c>
      <c r="E20" s="605">
        <f t="shared" si="1"/>
        <v>2.417</v>
      </c>
      <c r="F20" s="331" t="str">
        <f t="shared" si="0"/>
        <v>B</v>
      </c>
      <c r="H20" s="514" t="str">
        <f>+Input!AA124</f>
        <v>F-3</v>
      </c>
      <c r="I20" s="515" t="s">
        <v>220</v>
      </c>
      <c r="J20" s="516">
        <f>+Input!AC131</f>
        <v>0</v>
      </c>
      <c r="K20" s="263"/>
    </row>
    <row r="21" spans="1:11" ht="45" customHeight="1" thickBot="1">
      <c r="A21" s="997"/>
      <c r="B21" s="624" t="s">
        <v>28</v>
      </c>
      <c r="C21" s="584">
        <f>SUM(Input!I132:I137)</f>
        <v>3</v>
      </c>
      <c r="D21" s="584">
        <f>Input!BK137</f>
        <v>4</v>
      </c>
      <c r="E21" s="606">
        <f t="shared" si="1"/>
        <v>1.333</v>
      </c>
      <c r="F21" s="332" t="str">
        <f t="shared" si="0"/>
        <v>D</v>
      </c>
      <c r="H21" s="514" t="str">
        <f>+Input!AA132</f>
        <v>F-4</v>
      </c>
      <c r="I21" s="515" t="s">
        <v>220</v>
      </c>
      <c r="J21" s="516">
        <f>+Input!AC137</f>
        <v>0</v>
      </c>
      <c r="K21" s="263"/>
    </row>
    <row r="22" spans="2:11" ht="31.5" hidden="1" thickBot="1">
      <c r="B22" s="333" t="s">
        <v>158</v>
      </c>
      <c r="C22" s="585">
        <f>IF(SUM(C5:C21)=0,"",SUM(C5:C21))</f>
        <v>100</v>
      </c>
      <c r="D22" s="585">
        <f>IF(SUM(D5:D21)=0,"",SUM(D5:D21))</f>
        <v>246</v>
      </c>
      <c r="E22" s="607"/>
      <c r="K22" s="263"/>
    </row>
    <row r="23" spans="2:11" ht="38.25" hidden="1" thickBot="1">
      <c r="B23" s="188" t="s">
        <v>159</v>
      </c>
      <c r="C23" s="586">
        <f>IF(C22="","",ROUND(C22/4,2))</f>
        <v>25</v>
      </c>
      <c r="D23" s="586">
        <f>IF(D22="","",ROUND(D22/4,4))</f>
        <v>61.5</v>
      </c>
      <c r="E23" s="607"/>
      <c r="K23" s="263"/>
    </row>
    <row r="24" ht="20.25" thickBot="1" thickTop="1">
      <c r="K24" s="263"/>
    </row>
    <row r="25" spans="1:24" ht="76.5" customHeight="1" thickBot="1">
      <c r="A25" s="984" t="str">
        <f>+'Result NAAC'!B15</f>
        <v>1. DR. RAFIQUE MOHAMMED QURESHI, PRINCIPAL, GOVT. COLLEGE KOTA, KOTA, Mobile No. : 9414329536</v>
      </c>
      <c r="B25" s="985"/>
      <c r="C25" s="986"/>
      <c r="D25" s="628" t="s">
        <v>244</v>
      </c>
      <c r="E25" s="976"/>
      <c r="F25" s="977"/>
      <c r="G25" s="977"/>
      <c r="H25" s="977"/>
      <c r="I25" s="977"/>
      <c r="J25" s="978"/>
      <c r="K25" s="263"/>
      <c r="V25" s="234"/>
      <c r="W25" s="120"/>
      <c r="X25" s="120"/>
    </row>
    <row r="26" spans="1:24" ht="76.5" customHeight="1" thickBot="1">
      <c r="A26" s="984" t="str">
        <f>+'Result NAAC'!B16</f>
        <v>2. DR. CHHABI MITTAL, ASSOCIATE PROFESSOR, S.P.C. GOVT. COLLEGE AJMER, AJMER, Mobile No. : 9461190965</v>
      </c>
      <c r="B26" s="985"/>
      <c r="C26" s="986"/>
      <c r="D26" s="628" t="s">
        <v>247</v>
      </c>
      <c r="E26" s="976"/>
      <c r="F26" s="977"/>
      <c r="G26" s="977"/>
      <c r="H26" s="977"/>
      <c r="I26" s="977"/>
      <c r="J26" s="978"/>
      <c r="K26" s="263"/>
      <c r="V26" s="234"/>
      <c r="W26" s="120"/>
      <c r="X26" s="120"/>
    </row>
    <row r="27" spans="1:24" ht="76.5" customHeight="1" thickBot="1">
      <c r="A27" s="984" t="str">
        <f>+'Result NAAC'!B17</f>
        <v>3. DR. SUNIL KUMAR GOYAL, ASSISTANT PROFESSOR, S.P.C. GOVT. COLLEGE AJMER, AJMER, Mobile No. : 9887165968</v>
      </c>
      <c r="B27" s="985"/>
      <c r="C27" s="986"/>
      <c r="D27" s="628" t="s">
        <v>245</v>
      </c>
      <c r="E27" s="976"/>
      <c r="F27" s="977"/>
      <c r="G27" s="977"/>
      <c r="H27" s="977"/>
      <c r="I27" s="977"/>
      <c r="J27" s="978"/>
      <c r="K27" s="263"/>
      <c r="V27" s="234"/>
      <c r="W27" s="120"/>
      <c r="X27" s="120"/>
    </row>
    <row r="28" spans="1:24" ht="40.5" customHeight="1" thickBot="1">
      <c r="A28" s="979" t="s">
        <v>248</v>
      </c>
      <c r="B28" s="980"/>
      <c r="C28" s="980"/>
      <c r="D28" s="987"/>
      <c r="E28" s="981"/>
      <c r="F28" s="982"/>
      <c r="G28" s="982"/>
      <c r="H28" s="982"/>
      <c r="I28" s="982"/>
      <c r="J28" s="983"/>
      <c r="K28" s="263"/>
      <c r="V28" s="234"/>
      <c r="W28" s="120"/>
      <c r="X28" s="120"/>
    </row>
    <row r="29" spans="1:24" ht="72.75" customHeight="1" thickBot="1">
      <c r="A29" s="984" t="str">
        <f>+'Result NAAC'!B19</f>
        <v>DR. L.P.MAHAWAR, Principal, SETH R.L.SAHARIA GOVT. P.G. COLLEGE KALADERA, KALADERA (JAIPUR) (16), Mobile No. : 9414280324</v>
      </c>
      <c r="B29" s="985"/>
      <c r="C29" s="985"/>
      <c r="D29" s="986"/>
      <c r="E29" s="976"/>
      <c r="F29" s="977"/>
      <c r="G29" s="977"/>
      <c r="H29" s="977"/>
      <c r="I29" s="977"/>
      <c r="J29" s="978"/>
      <c r="K29" s="263"/>
      <c r="V29" s="234"/>
      <c r="W29" s="120"/>
      <c r="X29" s="120"/>
    </row>
    <row r="30" ht="18.75" hidden="1">
      <c r="K30" s="263"/>
    </row>
    <row r="31" ht="18.75" hidden="1">
      <c r="K31" s="263"/>
    </row>
    <row r="32" ht="18.75" hidden="1">
      <c r="K32" s="263"/>
    </row>
    <row r="33" ht="18.75" hidden="1">
      <c r="K33" s="263"/>
    </row>
    <row r="34" ht="18.75" hidden="1">
      <c r="K34" s="263"/>
    </row>
    <row r="35" ht="18.75" hidden="1">
      <c r="K35" s="263"/>
    </row>
    <row r="36" ht="18.75">
      <c r="K36" s="263"/>
    </row>
    <row r="37" spans="1:11" ht="18.75">
      <c r="A37" s="608"/>
      <c r="B37" s="263"/>
      <c r="C37" s="587"/>
      <c r="D37" s="587"/>
      <c r="E37" s="587"/>
      <c r="F37" s="587"/>
      <c r="G37" s="587"/>
      <c r="H37" s="587"/>
      <c r="I37" s="587"/>
      <c r="J37" s="587"/>
      <c r="K37" s="263"/>
    </row>
    <row r="38" spans="1:11" ht="18.75">
      <c r="A38" s="608"/>
      <c r="B38" s="263"/>
      <c r="C38" s="587"/>
      <c r="D38" s="587"/>
      <c r="E38" s="587"/>
      <c r="F38" s="587"/>
      <c r="G38" s="587"/>
      <c r="H38" s="587"/>
      <c r="I38" s="587"/>
      <c r="J38" s="587"/>
      <c r="K38" s="263"/>
    </row>
    <row r="39" spans="1:11" ht="18.75">
      <c r="A39" s="608"/>
      <c r="B39" s="263"/>
      <c r="C39" s="587"/>
      <c r="D39" s="587"/>
      <c r="E39" s="587"/>
      <c r="F39" s="587"/>
      <c r="G39" s="587"/>
      <c r="H39" s="587"/>
      <c r="I39" s="587"/>
      <c r="J39" s="587"/>
      <c r="K39" s="263"/>
    </row>
    <row r="40" spans="1:11" ht="18.75">
      <c r="A40" s="608"/>
      <c r="B40" s="263"/>
      <c r="C40" s="587"/>
      <c r="D40" s="587"/>
      <c r="E40" s="587"/>
      <c r="F40" s="587"/>
      <c r="G40" s="587"/>
      <c r="H40" s="587"/>
      <c r="I40" s="587"/>
      <c r="J40" s="587"/>
      <c r="K40" s="263"/>
    </row>
  </sheetData>
  <sheetProtection password="EAF4" sheet="1" objects="1" scenarios="1" selectLockedCells="1"/>
  <mergeCells count="20">
    <mergeCell ref="A18:A21"/>
    <mergeCell ref="A5:A9"/>
    <mergeCell ref="A10:A11"/>
    <mergeCell ref="A12:A13"/>
    <mergeCell ref="H4:J4"/>
    <mergeCell ref="A1:J1"/>
    <mergeCell ref="A2:J2"/>
    <mergeCell ref="A3:J3"/>
    <mergeCell ref="A14:A15"/>
    <mergeCell ref="A16:A17"/>
    <mergeCell ref="A25:C25"/>
    <mergeCell ref="A26:C26"/>
    <mergeCell ref="A27:C27"/>
    <mergeCell ref="A28:D28"/>
    <mergeCell ref="A29:D29"/>
    <mergeCell ref="E25:J25"/>
    <mergeCell ref="E26:J26"/>
    <mergeCell ref="E27:J27"/>
    <mergeCell ref="E28:J28"/>
    <mergeCell ref="E29:J29"/>
  </mergeCells>
  <conditionalFormatting sqref="D5:D9">
    <cfRule type="cellIs" priority="15" dxfId="133" operator="equal">
      <formula>0</formula>
    </cfRule>
  </conditionalFormatting>
  <conditionalFormatting sqref="D10:D11">
    <cfRule type="cellIs" priority="14" dxfId="134" operator="equal">
      <formula>0</formula>
    </cfRule>
  </conditionalFormatting>
  <conditionalFormatting sqref="D12:D13">
    <cfRule type="cellIs" priority="13" dxfId="135" operator="equal">
      <formula>0</formula>
    </cfRule>
  </conditionalFormatting>
  <conditionalFormatting sqref="D14:D15">
    <cfRule type="cellIs" priority="12" dxfId="136" operator="equal">
      <formula>0</formula>
    </cfRule>
  </conditionalFormatting>
  <conditionalFormatting sqref="D16:D17">
    <cfRule type="cellIs" priority="11" dxfId="137" operator="equal">
      <formula>0</formula>
    </cfRule>
  </conditionalFormatting>
  <conditionalFormatting sqref="D18:D21">
    <cfRule type="cellIs" priority="10" dxfId="138" operator="equal">
      <formula>0</formula>
    </cfRule>
  </conditionalFormatting>
  <conditionalFormatting sqref="F5:F21">
    <cfRule type="cellIs" priority="7" dxfId="126" operator="equal">
      <formula>"D"</formula>
    </cfRule>
    <cfRule type="cellIs" priority="8" dxfId="28" operator="lessThan">
      <formula>50.001</formula>
    </cfRule>
    <cfRule type="cellIs" priority="9" dxfId="41" operator="greaterThan">
      <formula>50</formula>
    </cfRule>
  </conditionalFormatting>
  <printOptions horizontalCentered="1"/>
  <pageMargins left="0.196850393700787" right="0.196850393700787" top="0.236220472440945" bottom="0.236220472440945" header="0.31496062992126" footer="0.31496062992126"/>
  <pageSetup blackAndWhite="1" fitToHeight="1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BK191"/>
  <sheetViews>
    <sheetView tabSelected="1" zoomScaleSheetLayoutView="70" zoomScalePageLayoutView="0" workbookViewId="0" topLeftCell="A1">
      <pane xSplit="3" ySplit="6" topLeftCell="E1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130" sqref="AA130"/>
    </sheetView>
  </sheetViews>
  <sheetFormatPr defaultColWidth="0" defaultRowHeight="18.75" zeroHeight="1"/>
  <cols>
    <col min="1" max="1" width="9.21484375" style="442" customWidth="1"/>
    <col min="2" max="2" width="9.88671875" style="442" customWidth="1"/>
    <col min="3" max="3" width="4.4453125" style="269" customWidth="1"/>
    <col min="4" max="4" width="20.3359375" style="271" customWidth="1"/>
    <col min="5" max="5" width="6.99609375" style="220" customWidth="1"/>
    <col min="6" max="6" width="8.10546875" style="220" customWidth="1"/>
    <col min="7" max="7" width="7.99609375" style="2" hidden="1" customWidth="1"/>
    <col min="8" max="8" width="7.21484375" style="2" customWidth="1"/>
    <col min="9" max="9" width="7.6640625" style="70" customWidth="1"/>
    <col min="10" max="10" width="9.10546875" style="2" customWidth="1"/>
    <col min="11" max="15" width="3.88671875" style="2" hidden="1" customWidth="1"/>
    <col min="16" max="26" width="13.5546875" style="2" hidden="1" customWidth="1"/>
    <col min="27" max="27" width="5.21484375" style="2" customWidth="1"/>
    <col min="28" max="28" width="1.5625" style="2" customWidth="1"/>
    <col min="29" max="29" width="4.88671875" style="2" customWidth="1"/>
    <col min="30" max="30" width="6.4453125" style="0" customWidth="1"/>
    <col min="31" max="31" width="13.4453125" style="0" customWidth="1"/>
    <col min="32" max="32" width="3.88671875" style="0" customWidth="1"/>
    <col min="33" max="33" width="1.88671875" style="0" customWidth="1"/>
    <col min="34" max="34" width="22.10546875" style="0" customWidth="1"/>
    <col min="35" max="35" width="20.5546875" style="0" customWidth="1"/>
    <col min="36" max="38" width="5.4453125" style="0" hidden="1" customWidth="1"/>
    <col min="39" max="41" width="0.671875" style="0" customWidth="1"/>
    <col min="42" max="42" width="14.3359375" style="0" customWidth="1"/>
    <col min="43" max="48" width="0.671875" style="0" customWidth="1"/>
    <col min="49" max="49" width="14.88671875" style="0" customWidth="1"/>
    <col min="50" max="52" width="0.671875" style="0" customWidth="1"/>
    <col min="53" max="53" width="14.3359375" style="0" customWidth="1"/>
    <col min="54" max="62" width="8.88671875" style="0" hidden="1" customWidth="1"/>
    <col min="63" max="63" width="9.5546875" style="0" hidden="1" customWidth="1"/>
    <col min="64" max="16384" width="8.88671875" style="0" hidden="1" customWidth="1"/>
  </cols>
  <sheetData>
    <row r="1" spans="1:53" ht="25.5" customHeight="1" thickBot="1">
      <c r="A1" s="1087" t="str">
        <f>+'Result NAAC'!B1</f>
        <v>SETH R.L.SAHARIA GOVT. P.G. COLLEGE KALADERA KALADERA (JAIPUR)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  <c r="AD1" s="1087"/>
      <c r="AE1" s="1087"/>
      <c r="AF1" s="697"/>
      <c r="AG1" s="697"/>
      <c r="AH1" s="697"/>
      <c r="AI1" s="1070">
        <v>123456</v>
      </c>
      <c r="AJ1" s="409"/>
      <c r="AK1" s="409"/>
      <c r="AL1" s="409"/>
      <c r="AM1" s="412"/>
      <c r="AN1" s="412"/>
      <c r="AO1" s="413"/>
      <c r="AP1" s="414">
        <f>IF(LEFT($AI$1,1)="",0,INT(LEFT($AI$1,1)))</f>
        <v>1</v>
      </c>
      <c r="AQ1" s="414">
        <f>IF(MID($AI$1,5,1)="",0,INT(MID($AI$1,5,1)))</f>
        <v>5</v>
      </c>
      <c r="AR1" s="414">
        <f>IF(SUM(AS1:AY4)&lt;&gt;600,0,21)</f>
        <v>21</v>
      </c>
      <c r="AS1" s="414">
        <f>IF(COUNTIF($AP$1:$AQ$4,"=1")=1,100,0)</f>
        <v>100</v>
      </c>
      <c r="AT1" s="414"/>
      <c r="AU1" s="414"/>
      <c r="AV1" s="414"/>
      <c r="AW1" s="414"/>
      <c r="AX1" s="414"/>
      <c r="AY1" s="414">
        <f>IF(COUNTIF($AP$1:$AQ$4,"=5")=1,100,0)</f>
        <v>100</v>
      </c>
      <c r="AZ1" s="415"/>
      <c r="BA1" s="413"/>
    </row>
    <row r="2" spans="1:53" ht="25.5" customHeight="1" thickBot="1">
      <c r="A2" s="1088" t="str">
        <f>+'Result NAAC'!B2</f>
        <v>Assessment Matrix for Annual Auditing Programe : Final Report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  <c r="O2" s="1088"/>
      <c r="P2" s="1088"/>
      <c r="Q2" s="1088"/>
      <c r="R2" s="1088"/>
      <c r="S2" s="1088"/>
      <c r="T2" s="1088"/>
      <c r="U2" s="1088"/>
      <c r="V2" s="1088"/>
      <c r="W2" s="1088"/>
      <c r="X2" s="1088"/>
      <c r="Y2" s="1088"/>
      <c r="Z2" s="1088"/>
      <c r="AA2" s="1088"/>
      <c r="AB2" s="1088"/>
      <c r="AC2" s="1088"/>
      <c r="AD2" s="1088"/>
      <c r="AE2" s="1088"/>
      <c r="AF2" s="698"/>
      <c r="AG2" s="698"/>
      <c r="AH2" s="698"/>
      <c r="AI2" s="1071"/>
      <c r="AJ2" s="410"/>
      <c r="AK2" s="410"/>
      <c r="AL2" s="410"/>
      <c r="AM2" s="412"/>
      <c r="AN2" s="412"/>
      <c r="AO2" s="413"/>
      <c r="AP2" s="414">
        <f>IF(MID($AI$1,2,1)="",0,INT(MID($AI$1,2,1)))</f>
        <v>2</v>
      </c>
      <c r="AQ2" s="414">
        <f>IF(RIGHT($AI$1,1)="",0,INT(RIGHT($AI$1,1)))</f>
        <v>6</v>
      </c>
      <c r="AR2" s="414"/>
      <c r="AS2" s="414">
        <f>IF(COUNTIF($AP$1:$AQ$4,"=2")=1,100,0)</f>
        <v>100</v>
      </c>
      <c r="AT2" s="414"/>
      <c r="AU2" s="414"/>
      <c r="AV2" s="414"/>
      <c r="AW2" s="414"/>
      <c r="AX2" s="414"/>
      <c r="AY2" s="414">
        <f>IF(COUNTIF($AP$1:$AQ$4,"=6")=1,100,0)</f>
        <v>100</v>
      </c>
      <c r="AZ2" s="415"/>
      <c r="BA2" s="413"/>
    </row>
    <row r="3" spans="1:53" ht="19.5" customHeight="1" thickBot="1">
      <c r="A3" s="1089" t="str">
        <f>+'Result NAAC'!B3</f>
        <v>Inspection Phase : First for Session : 2019-20 and Inspection Dates : 17-MAR-2020 and 18-MAR-2020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1089"/>
      <c r="U3" s="1089"/>
      <c r="V3" s="1089"/>
      <c r="W3" s="1089"/>
      <c r="X3" s="1089"/>
      <c r="Y3" s="1089"/>
      <c r="Z3" s="1089"/>
      <c r="AA3" s="1089"/>
      <c r="AB3" s="1089"/>
      <c r="AC3" s="1089"/>
      <c r="AD3" s="1089"/>
      <c r="AE3" s="1089"/>
      <c r="AF3" s="699"/>
      <c r="AG3" s="699"/>
      <c r="AH3" s="1069"/>
      <c r="AI3" s="1071"/>
      <c r="AJ3" s="411"/>
      <c r="AK3" s="411"/>
      <c r="AL3" s="411"/>
      <c r="AM3" s="412"/>
      <c r="AN3" s="412"/>
      <c r="AO3" s="413"/>
      <c r="AP3" s="414">
        <f>IF(MID($AI$1,3,1)="",0,INT(MID($AI$1,3,1)))</f>
        <v>3</v>
      </c>
      <c r="AQ3" s="414"/>
      <c r="AR3" s="414"/>
      <c r="AS3" s="414">
        <f>IF(COUNTIF($AP$1:$AQ$4,"=3")=1,100,0)</f>
        <v>100</v>
      </c>
      <c r="AT3" s="414"/>
      <c r="AU3" s="414"/>
      <c r="AV3" s="414"/>
      <c r="AW3" s="414"/>
      <c r="AX3" s="414"/>
      <c r="AY3" s="414"/>
      <c r="AZ3" s="415"/>
      <c r="BA3" s="413"/>
    </row>
    <row r="4" spans="1:53" ht="19.5" customHeight="1" thickBot="1">
      <c r="A4" s="1111" t="s">
        <v>191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  <c r="W4" s="1111"/>
      <c r="X4" s="1111"/>
      <c r="Y4" s="1111"/>
      <c r="Z4" s="1111"/>
      <c r="AA4" s="1111"/>
      <c r="AB4" s="1111"/>
      <c r="AC4" s="1111"/>
      <c r="AD4" s="1111"/>
      <c r="AE4" s="1111"/>
      <c r="AF4" s="699"/>
      <c r="AG4" s="699"/>
      <c r="AH4" s="1069"/>
      <c r="AI4" s="1072"/>
      <c r="AM4" s="416"/>
      <c r="AN4" s="416"/>
      <c r="AO4" s="416"/>
      <c r="AP4" s="417">
        <f>IF(MID($AI$1,4,1)="",0,INT(MID($AI$1,4,1)))</f>
        <v>4</v>
      </c>
      <c r="AQ4" s="417"/>
      <c r="AR4" s="417"/>
      <c r="AS4" s="417">
        <f>IF(COUNTIF($AP$1:$AQ$4,"=4")=1,100,0)</f>
        <v>100</v>
      </c>
      <c r="AT4" s="417"/>
      <c r="AU4" s="417"/>
      <c r="AV4" s="417"/>
      <c r="AW4" s="417"/>
      <c r="AX4" s="417"/>
      <c r="AY4" s="417"/>
      <c r="AZ4" s="418"/>
      <c r="BA4" s="416"/>
    </row>
    <row r="5" spans="1:53" ht="30" customHeight="1" thickBot="1">
      <c r="A5" s="1022" t="s">
        <v>192</v>
      </c>
      <c r="B5" s="1022" t="s">
        <v>1</v>
      </c>
      <c r="C5" s="1050" t="s">
        <v>2</v>
      </c>
      <c r="D5" s="1022" t="s">
        <v>3</v>
      </c>
      <c r="E5" s="1059" t="s">
        <v>164</v>
      </c>
      <c r="F5" s="1059"/>
      <c r="G5" s="1024" t="s">
        <v>154</v>
      </c>
      <c r="H5" s="1051" t="s">
        <v>5</v>
      </c>
      <c r="I5" s="1023" t="s">
        <v>4</v>
      </c>
      <c r="J5" s="1054" t="s">
        <v>155</v>
      </c>
      <c r="K5" s="1055">
        <v>0</v>
      </c>
      <c r="L5" s="1057">
        <v>1</v>
      </c>
      <c r="M5" s="1057">
        <v>2</v>
      </c>
      <c r="N5" s="1057">
        <v>3</v>
      </c>
      <c r="O5" s="1057">
        <v>4</v>
      </c>
      <c r="P5" s="1090" t="s">
        <v>5</v>
      </c>
      <c r="Q5" s="1090"/>
      <c r="R5" s="1090"/>
      <c r="S5" s="1090"/>
      <c r="T5" s="1090"/>
      <c r="U5" s="1090"/>
      <c r="V5" s="1090"/>
      <c r="W5" s="1090"/>
      <c r="X5" s="1090"/>
      <c r="Y5" s="435"/>
      <c r="Z5" s="435"/>
      <c r="AA5" s="1025" t="s">
        <v>221</v>
      </c>
      <c r="AB5" s="1025"/>
      <c r="AC5" s="1025"/>
      <c r="AD5" s="1064" t="s">
        <v>195</v>
      </c>
      <c r="AE5" s="1066" t="s">
        <v>209</v>
      </c>
      <c r="AF5" s="1068"/>
      <c r="AG5" s="1073" t="s">
        <v>212</v>
      </c>
      <c r="AH5" s="1074"/>
      <c r="AI5" s="1075"/>
      <c r="AJ5" s="1075"/>
      <c r="AK5" s="1075"/>
      <c r="AL5" s="1075"/>
      <c r="AM5" s="1075"/>
      <c r="AN5" s="1075"/>
      <c r="AO5" s="1075"/>
      <c r="AP5" s="1075"/>
      <c r="AQ5" s="1075"/>
      <c r="AR5" s="1075"/>
      <c r="AS5" s="1075"/>
      <c r="AT5" s="1075"/>
      <c r="AU5" s="1075"/>
      <c r="AV5" s="1075"/>
      <c r="AW5" s="1075"/>
      <c r="AX5" s="1075"/>
      <c r="AY5" s="1075"/>
      <c r="AZ5" s="1076"/>
      <c r="BA5" s="1011" t="s">
        <v>194</v>
      </c>
    </row>
    <row r="6" spans="1:63" ht="44.25" customHeight="1" thickBot="1">
      <c r="A6" s="1022"/>
      <c r="B6" s="1022"/>
      <c r="C6" s="1050"/>
      <c r="D6" s="1022"/>
      <c r="E6" s="1059"/>
      <c r="F6" s="1059"/>
      <c r="G6" s="1024"/>
      <c r="H6" s="1051"/>
      <c r="I6" s="1023"/>
      <c r="J6" s="1054"/>
      <c r="K6" s="1056"/>
      <c r="L6" s="1058"/>
      <c r="M6" s="1058"/>
      <c r="N6" s="1058"/>
      <c r="O6" s="1058"/>
      <c r="P6" s="1048">
        <v>0</v>
      </c>
      <c r="Q6" s="1049"/>
      <c r="R6" s="1048">
        <v>1</v>
      </c>
      <c r="S6" s="1049"/>
      <c r="T6" s="1048">
        <v>2</v>
      </c>
      <c r="U6" s="1049"/>
      <c r="V6" s="1048">
        <v>3</v>
      </c>
      <c r="W6" s="1049"/>
      <c r="X6" s="1048">
        <v>4</v>
      </c>
      <c r="Y6" s="1118"/>
      <c r="Z6" s="436"/>
      <c r="AA6" s="1025"/>
      <c r="AB6" s="1025"/>
      <c r="AC6" s="1025"/>
      <c r="AD6" s="1065"/>
      <c r="AE6" s="1067"/>
      <c r="AF6" s="1068"/>
      <c r="AG6" s="1077"/>
      <c r="AH6" s="1078"/>
      <c r="AI6" s="1078"/>
      <c r="AJ6" s="1078"/>
      <c r="AK6" s="1078"/>
      <c r="AL6" s="1078"/>
      <c r="AM6" s="1078"/>
      <c r="AN6" s="1078"/>
      <c r="AO6" s="1078"/>
      <c r="AP6" s="1078"/>
      <c r="AQ6" s="1078"/>
      <c r="AR6" s="1078"/>
      <c r="AS6" s="1078"/>
      <c r="AT6" s="1078"/>
      <c r="AU6" s="1078"/>
      <c r="AV6" s="1078"/>
      <c r="AW6" s="1078"/>
      <c r="AX6" s="1078"/>
      <c r="AY6" s="1078"/>
      <c r="AZ6" s="1079"/>
      <c r="BA6" s="1012"/>
      <c r="BF6">
        <f aca="true" t="shared" si="0" ref="BF6:BK6">SUM(BF7:BF137)</f>
        <v>524</v>
      </c>
      <c r="BG6">
        <f t="shared" si="0"/>
        <v>100</v>
      </c>
      <c r="BH6">
        <f t="shared" si="0"/>
        <v>400</v>
      </c>
      <c r="BI6">
        <f t="shared" si="0"/>
        <v>246</v>
      </c>
      <c r="BJ6">
        <f t="shared" si="0"/>
        <v>400</v>
      </c>
      <c r="BK6">
        <f t="shared" si="0"/>
        <v>246</v>
      </c>
    </row>
    <row r="7" spans="1:61" ht="51.75" customHeight="1" thickBot="1">
      <c r="A7" s="1113" t="s">
        <v>6</v>
      </c>
      <c r="B7" s="1060" t="s">
        <v>7</v>
      </c>
      <c r="C7" s="314">
        <v>1</v>
      </c>
      <c r="D7" s="763" t="s">
        <v>29</v>
      </c>
      <c r="E7" s="205">
        <v>5517</v>
      </c>
      <c r="F7" s="205">
        <v>8700</v>
      </c>
      <c r="G7" s="764">
        <f>IF(E7="","",ROUND(E7/F7,4))</f>
        <v>0.6341</v>
      </c>
      <c r="H7" s="765">
        <f>IF(OR(E7="",F7="",F7=0),"",SUM(K7:O7))</f>
        <v>3</v>
      </c>
      <c r="I7" s="766">
        <v>3</v>
      </c>
      <c r="J7" s="767">
        <f>IF(H7="","",+H7*I7*Z7)</f>
        <v>9</v>
      </c>
      <c r="K7" s="342">
        <f>IF($G7&lt;$R7%,$K$5,"")</f>
      </c>
      <c r="L7" s="343">
        <f>IF(AND($G7&lt;$T7%,$G7&gt;$Q7%),$L$5,"")</f>
      </c>
      <c r="M7" s="343">
        <f>IF(AND($G7&lt;$V7%,$G7&gt;$S7%),$M$5,"")</f>
      </c>
      <c r="N7" s="343">
        <f>IF(AND($G7&lt;$X7%,$G7&gt;$U7%),$N$5,"")</f>
        <v>3</v>
      </c>
      <c r="O7" s="343">
        <f>IF(AND($G7&lt;Y7%,G7&gt;W7%),$O$5,"")</f>
      </c>
      <c r="P7" s="22">
        <v>0</v>
      </c>
      <c r="Q7" s="22">
        <v>20</v>
      </c>
      <c r="R7" s="3">
        <v>20.0001</v>
      </c>
      <c r="S7" s="3">
        <v>40</v>
      </c>
      <c r="T7" s="3">
        <v>40.0001</v>
      </c>
      <c r="U7" s="3">
        <v>60</v>
      </c>
      <c r="V7" s="3">
        <v>60.0001</v>
      </c>
      <c r="W7" s="3">
        <v>80</v>
      </c>
      <c r="X7" s="3">
        <v>80.0001</v>
      </c>
      <c r="Y7" s="3">
        <v>10000</v>
      </c>
      <c r="Z7" s="255">
        <f>IF(AD7="YES",1,0)*IF(BA7="ERROR INPUT",0,1)*(IF(AE7="NOT VERIFIED",0,1))</f>
        <v>1</v>
      </c>
      <c r="AA7" s="443" t="s">
        <v>483</v>
      </c>
      <c r="AB7" s="444" t="s">
        <v>220</v>
      </c>
      <c r="AC7" s="877" t="s">
        <v>380</v>
      </c>
      <c r="AD7" s="904" t="s">
        <v>417</v>
      </c>
      <c r="AE7" s="700" t="s">
        <v>498</v>
      </c>
      <c r="AF7" s="348"/>
      <c r="AG7" s="1080" t="s">
        <v>219</v>
      </c>
      <c r="AH7" s="1081"/>
      <c r="AI7" s="1081"/>
      <c r="AJ7" s="1081"/>
      <c r="AK7" s="1081"/>
      <c r="AL7" s="1081"/>
      <c r="AM7" s="1081"/>
      <c r="AN7" s="1081"/>
      <c r="AO7" s="1081"/>
      <c r="AP7" s="1081"/>
      <c r="AQ7" s="1081"/>
      <c r="AR7" s="1081"/>
      <c r="AS7" s="1081"/>
      <c r="AT7" s="1081"/>
      <c r="AU7" s="1081"/>
      <c r="AV7" s="1081"/>
      <c r="AW7" s="1081"/>
      <c r="AX7" s="1081"/>
      <c r="AY7" s="1081"/>
      <c r="AZ7" s="1082"/>
      <c r="BA7" s="355">
        <f>IF(E7&gt;F7,"ERROR INPUT","")</f>
      </c>
      <c r="BF7">
        <v>4</v>
      </c>
      <c r="BG7" s="358">
        <f>+I7</f>
        <v>3</v>
      </c>
      <c r="BH7">
        <f>+BF7*BG7</f>
        <v>12</v>
      </c>
      <c r="BI7" s="358">
        <f>IF(J7="",0,+J7)</f>
        <v>9</v>
      </c>
    </row>
    <row r="8" spans="1:63" ht="71.25" customHeight="1" thickBot="1">
      <c r="A8" s="1113"/>
      <c r="B8" s="1060"/>
      <c r="C8" s="314">
        <f>1+C7</f>
        <v>2</v>
      </c>
      <c r="D8" s="763" t="s">
        <v>30</v>
      </c>
      <c r="E8" s="205">
        <v>4581</v>
      </c>
      <c r="F8" s="205">
        <v>2866</v>
      </c>
      <c r="G8" s="768">
        <f>IF(E8="","",ROUND(E8/F8,4))</f>
        <v>1.5984</v>
      </c>
      <c r="H8" s="765">
        <f>IF(OR(E8="",F8="",F8=0),"",SUM(K8:O8))</f>
        <v>3</v>
      </c>
      <c r="I8" s="766">
        <v>2.5</v>
      </c>
      <c r="J8" s="767">
        <f>IF(H8="","",+H8*I8*Z8)</f>
        <v>7.5</v>
      </c>
      <c r="K8" s="728">
        <f>IF($G8&lt;$R8,$K$5,"")</f>
      </c>
      <c r="L8" s="32">
        <f>IF(AND($G8&lt;$T8,$G8&gt;$Q8),$L$5,"")</f>
      </c>
      <c r="M8" s="32">
        <f>IF(AND($G8&lt;$V8,$G8&gt;$S8),$M$5,"")</f>
      </c>
      <c r="N8" s="32">
        <f>IF(AND($G8&lt;$X8,$G8&gt;$U8),$N$5,"")</f>
        <v>3</v>
      </c>
      <c r="O8" s="32">
        <f>IF(AND($G8&lt;Y8,G8&gt;W8),$O$5,"")</f>
      </c>
      <c r="P8" s="4">
        <v>0</v>
      </c>
      <c r="Q8" s="4">
        <v>0.1999</v>
      </c>
      <c r="R8" s="4">
        <v>0.2</v>
      </c>
      <c r="S8" s="4">
        <v>0.9999</v>
      </c>
      <c r="T8" s="4">
        <v>1</v>
      </c>
      <c r="U8" s="4">
        <v>1.4999</v>
      </c>
      <c r="V8" s="4">
        <v>1.5</v>
      </c>
      <c r="W8" s="4">
        <v>1.9999</v>
      </c>
      <c r="X8" s="4">
        <v>2</v>
      </c>
      <c r="Y8" s="3">
        <v>10000</v>
      </c>
      <c r="Z8" s="255">
        <f aca="true" t="shared" si="1" ref="Z8:Z71">IF(AD8="YES",1,0)*IF(BA8="ERROR INPUT",0,1)*(IF(AE8="NOT VERIFIED",0,1))</f>
        <v>1</v>
      </c>
      <c r="AA8" s="443" t="s">
        <v>483</v>
      </c>
      <c r="AB8" s="444" t="s">
        <v>220</v>
      </c>
      <c r="AC8" s="877" t="s">
        <v>381</v>
      </c>
      <c r="AD8" s="904" t="s">
        <v>417</v>
      </c>
      <c r="AE8" s="875" t="s">
        <v>498</v>
      </c>
      <c r="AF8" s="348"/>
      <c r="AG8" s="1080" t="s">
        <v>211</v>
      </c>
      <c r="AH8" s="1081"/>
      <c r="AI8" s="1081"/>
      <c r="AJ8" s="1081"/>
      <c r="AK8" s="1081"/>
      <c r="AL8" s="1081"/>
      <c r="AM8" s="1081"/>
      <c r="AN8" s="1081"/>
      <c r="AO8" s="1081"/>
      <c r="AP8" s="1081"/>
      <c r="AQ8" s="1081"/>
      <c r="AR8" s="1081"/>
      <c r="AS8" s="1081"/>
      <c r="AT8" s="1081"/>
      <c r="AU8" s="1081"/>
      <c r="AV8" s="1081"/>
      <c r="AW8" s="1081"/>
      <c r="AX8" s="1081"/>
      <c r="AY8" s="1081"/>
      <c r="AZ8" s="1082"/>
      <c r="BA8" s="356"/>
      <c r="BF8">
        <v>4</v>
      </c>
      <c r="BG8" s="358">
        <f aca="true" t="shared" si="2" ref="BG8:BG71">+I8</f>
        <v>2.5</v>
      </c>
      <c r="BH8">
        <f aca="true" t="shared" si="3" ref="BH8:BH71">+BF8*BG8</f>
        <v>10</v>
      </c>
      <c r="BI8" s="358">
        <f aca="true" t="shared" si="4" ref="BI8:BI71">IF(J8="",0,+J8)</f>
        <v>7.5</v>
      </c>
      <c r="BJ8">
        <f>+BH8+BH7</f>
        <v>22</v>
      </c>
      <c r="BK8" s="359">
        <f>+BI8+BI7</f>
        <v>16.5</v>
      </c>
    </row>
    <row r="9" spans="1:61" ht="37.5" customHeight="1" thickBot="1">
      <c r="A9" s="1113"/>
      <c r="B9" s="1112" t="s">
        <v>8</v>
      </c>
      <c r="C9" s="1052">
        <f aca="true" t="shared" si="5" ref="C9:C73">1+C8</f>
        <v>3</v>
      </c>
      <c r="D9" s="769" t="s">
        <v>157</v>
      </c>
      <c r="E9" s="675">
        <v>1515</v>
      </c>
      <c r="F9" s="206">
        <f>+$E$7</f>
        <v>5517</v>
      </c>
      <c r="G9" s="770">
        <f>IF(E9="","",ROUND(E9/F9,4))</f>
        <v>0.2746</v>
      </c>
      <c r="H9" s="771">
        <f>IF(OR(E9="",F9="",F9=0),"",IF(E10="yes",0,SUM(K9:O9)))</f>
        <v>2</v>
      </c>
      <c r="I9" s="1053">
        <v>1.5</v>
      </c>
      <c r="J9" s="772">
        <f>IF(H9="","",+H9*I9*Z9)</f>
        <v>3</v>
      </c>
      <c r="K9" s="729">
        <f>IF($G9&lt;$R9%,$K$5,"")</f>
      </c>
      <c r="L9" s="72">
        <f aca="true" t="shared" si="6" ref="L9:L19">IF(AND($G9&lt;$T9%,$G9&gt;$Q9%),$L$5,"")</f>
      </c>
      <c r="M9" s="72">
        <f aca="true" t="shared" si="7" ref="M9:M19">IF(AND($G9&lt;$V9%,$G9&gt;$S9%),$M$5,"")</f>
        <v>2</v>
      </c>
      <c r="N9" s="72">
        <f aca="true" t="shared" si="8" ref="N9:N19">IF(AND($G9&lt;$X9%,$G9&gt;$U9%),$N$5,"")</f>
      </c>
      <c r="O9" s="72">
        <f>IF(AND($G9&lt;Y9%,G9&gt;W9%),$O$5,"")</f>
      </c>
      <c r="P9" s="5">
        <v>0</v>
      </c>
      <c r="Q9" s="5">
        <v>9.999</v>
      </c>
      <c r="R9" s="5">
        <v>10</v>
      </c>
      <c r="S9" s="360">
        <v>19.999</v>
      </c>
      <c r="T9" s="5">
        <v>20</v>
      </c>
      <c r="U9" s="5">
        <v>29.999</v>
      </c>
      <c r="V9" s="5">
        <v>30</v>
      </c>
      <c r="W9" s="5">
        <v>49.999</v>
      </c>
      <c r="X9" s="5">
        <v>50</v>
      </c>
      <c r="Y9" s="76">
        <v>10000</v>
      </c>
      <c r="Z9" s="255">
        <f t="shared" si="1"/>
        <v>1</v>
      </c>
      <c r="AA9" s="446" t="s">
        <v>484</v>
      </c>
      <c r="AB9" s="447" t="s">
        <v>220</v>
      </c>
      <c r="AC9" s="878" t="s">
        <v>382</v>
      </c>
      <c r="AD9" s="904" t="s">
        <v>417</v>
      </c>
      <c r="AE9" s="875" t="s">
        <v>498</v>
      </c>
      <c r="AF9" s="348"/>
      <c r="AG9" s="1005" t="s">
        <v>216</v>
      </c>
      <c r="AH9" s="1006"/>
      <c r="AI9" s="1006"/>
      <c r="AJ9" s="1006"/>
      <c r="AK9" s="1006"/>
      <c r="AL9" s="1006"/>
      <c r="AM9" s="1006"/>
      <c r="AN9" s="1006"/>
      <c r="AO9" s="1006"/>
      <c r="AP9" s="1006"/>
      <c r="AQ9" s="1006"/>
      <c r="AR9" s="1006"/>
      <c r="AS9" s="1006"/>
      <c r="AT9" s="1006"/>
      <c r="AU9" s="1006"/>
      <c r="AV9" s="1006"/>
      <c r="AW9" s="1006"/>
      <c r="AX9" s="1006"/>
      <c r="AY9" s="1006"/>
      <c r="AZ9" s="1007"/>
      <c r="BA9" s="357">
        <f>IF(E9&gt;F9,"ERROR INPUT","")</f>
      </c>
      <c r="BF9">
        <v>4</v>
      </c>
      <c r="BG9" s="358">
        <f t="shared" si="2"/>
        <v>1.5</v>
      </c>
      <c r="BH9">
        <f t="shared" si="3"/>
        <v>6</v>
      </c>
      <c r="BI9" s="358">
        <f t="shared" si="4"/>
        <v>3</v>
      </c>
    </row>
    <row r="10" spans="1:61" ht="37.5" customHeight="1" thickBot="1">
      <c r="A10" s="1113"/>
      <c r="B10" s="1112"/>
      <c r="C10" s="1052"/>
      <c r="D10" s="769" t="s">
        <v>156</v>
      </c>
      <c r="E10" s="1027" t="s">
        <v>396</v>
      </c>
      <c r="F10" s="1027"/>
      <c r="G10" s="773" t="str">
        <f>+E10</f>
        <v>NO</v>
      </c>
      <c r="H10" s="771">
        <f>IF(H7="","",IF(G10="",0,SUM(K10:O10)))</f>
        <v>0</v>
      </c>
      <c r="I10" s="1053"/>
      <c r="J10" s="772">
        <f>IF(H10="","",+H10*I9*Z10)</f>
        <v>0</v>
      </c>
      <c r="K10" s="730">
        <f>IF(OR(E10="",E10="NO"),$K$5,"")</f>
        <v>0</v>
      </c>
      <c r="L10" s="73">
        <f t="shared" si="6"/>
      </c>
      <c r="M10" s="73">
        <f t="shared" si="7"/>
      </c>
      <c r="N10" s="73">
        <f t="shared" si="8"/>
      </c>
      <c r="O10" s="73">
        <f>IF(E10="YES",$O$5,"")</f>
      </c>
      <c r="P10" s="5"/>
      <c r="Q10" s="5"/>
      <c r="R10" s="16"/>
      <c r="S10" s="16"/>
      <c r="T10" s="5"/>
      <c r="U10" s="5"/>
      <c r="V10" s="5"/>
      <c r="W10" s="5"/>
      <c r="X10" s="5"/>
      <c r="Y10" s="5"/>
      <c r="Z10" s="255">
        <f t="shared" si="1"/>
        <v>0</v>
      </c>
      <c r="AA10" s="446"/>
      <c r="AB10" s="447" t="s">
        <v>220</v>
      </c>
      <c r="AC10" s="878"/>
      <c r="AD10" s="904" t="s">
        <v>396</v>
      </c>
      <c r="AE10" s="875" t="s">
        <v>499</v>
      </c>
      <c r="AF10" s="348"/>
      <c r="AG10" s="1005" t="s">
        <v>216</v>
      </c>
      <c r="AH10" s="1006"/>
      <c r="AI10" s="1006"/>
      <c r="AJ10" s="1006"/>
      <c r="AK10" s="1006"/>
      <c r="AL10" s="1006"/>
      <c r="AM10" s="1006"/>
      <c r="AN10" s="1006"/>
      <c r="AO10" s="1006"/>
      <c r="AP10" s="1006"/>
      <c r="AQ10" s="1006"/>
      <c r="AR10" s="1006"/>
      <c r="AS10" s="1006"/>
      <c r="AT10" s="1006"/>
      <c r="AU10" s="1006"/>
      <c r="AV10" s="1006"/>
      <c r="AW10" s="1006"/>
      <c r="AX10" s="1006"/>
      <c r="AY10" s="1006"/>
      <c r="AZ10" s="1007"/>
      <c r="BA10" s="356"/>
      <c r="BF10">
        <v>4</v>
      </c>
      <c r="BG10" s="358">
        <f t="shared" si="2"/>
        <v>0</v>
      </c>
      <c r="BH10">
        <f t="shared" si="3"/>
        <v>0</v>
      </c>
      <c r="BI10" s="358">
        <f t="shared" si="4"/>
        <v>0</v>
      </c>
    </row>
    <row r="11" spans="1:61" ht="37.5" customHeight="1" thickBot="1">
      <c r="A11" s="1113"/>
      <c r="B11" s="1112"/>
      <c r="C11" s="665">
        <f>1+C9</f>
        <v>4</v>
      </c>
      <c r="D11" s="769" t="s">
        <v>31</v>
      </c>
      <c r="E11" s="774">
        <v>950</v>
      </c>
      <c r="F11" s="206">
        <f aca="true" t="shared" si="9" ref="F11:F19">+$E$7</f>
        <v>5517</v>
      </c>
      <c r="G11" s="775">
        <f aca="true" t="shared" si="10" ref="G11:G19">IF(E11="","",ROUND(E11/F11,4))</f>
        <v>0.1722</v>
      </c>
      <c r="H11" s="771">
        <f aca="true" t="shared" si="11" ref="H11:H19">IF(OR(E11="",F11="",F11=0),"",SUM(K11:O11))</f>
        <v>2</v>
      </c>
      <c r="I11" s="776">
        <v>1</v>
      </c>
      <c r="J11" s="772">
        <f aca="true" t="shared" si="12" ref="J11:J74">IF(H11="","",+H11*I11*Z11)</f>
        <v>2</v>
      </c>
      <c r="K11" s="729">
        <f aca="true" t="shared" si="13" ref="K11:K19">IF($G11&lt;$R11%,$K$5,"")</f>
      </c>
      <c r="L11" s="72">
        <f t="shared" si="6"/>
      </c>
      <c r="M11" s="72">
        <f t="shared" si="7"/>
        <v>2</v>
      </c>
      <c r="N11" s="72">
        <f t="shared" si="8"/>
      </c>
      <c r="O11" s="72">
        <f aca="true" t="shared" si="14" ref="O11:O19">IF(AND($G11&lt;Y11%,G11&gt;W11%),$O$5,"")</f>
      </c>
      <c r="P11" s="5">
        <v>0</v>
      </c>
      <c r="Q11" s="5">
        <v>0</v>
      </c>
      <c r="R11" s="5">
        <v>0.0009</v>
      </c>
      <c r="S11" s="5">
        <v>9.9999</v>
      </c>
      <c r="T11" s="5">
        <v>10</v>
      </c>
      <c r="U11" s="5">
        <v>19.999</v>
      </c>
      <c r="V11" s="5">
        <v>20</v>
      </c>
      <c r="W11" s="5">
        <v>29.999</v>
      </c>
      <c r="X11" s="5">
        <v>30</v>
      </c>
      <c r="Y11" s="76">
        <v>10000</v>
      </c>
      <c r="Z11" s="255">
        <f t="shared" si="1"/>
        <v>1</v>
      </c>
      <c r="AA11" s="446" t="s">
        <v>484</v>
      </c>
      <c r="AB11" s="447" t="s">
        <v>220</v>
      </c>
      <c r="AC11" s="878" t="s">
        <v>382</v>
      </c>
      <c r="AD11" s="904" t="s">
        <v>417</v>
      </c>
      <c r="AE11" s="875" t="s">
        <v>498</v>
      </c>
      <c r="AF11" s="348"/>
      <c r="AG11" s="1005" t="s">
        <v>216</v>
      </c>
      <c r="AH11" s="1006"/>
      <c r="AI11" s="1006"/>
      <c r="AJ11" s="1006"/>
      <c r="AK11" s="1006"/>
      <c r="AL11" s="1006"/>
      <c r="AM11" s="1006"/>
      <c r="AN11" s="1006"/>
      <c r="AO11" s="1006"/>
      <c r="AP11" s="1006"/>
      <c r="AQ11" s="1006"/>
      <c r="AR11" s="1006"/>
      <c r="AS11" s="1006"/>
      <c r="AT11" s="1006"/>
      <c r="AU11" s="1006"/>
      <c r="AV11" s="1006"/>
      <c r="AW11" s="1006"/>
      <c r="AX11" s="1006"/>
      <c r="AY11" s="1006"/>
      <c r="AZ11" s="1007"/>
      <c r="BA11" s="357">
        <f aca="true" t="shared" si="15" ref="BA11:BA19">IF(E11&gt;F11,"ERROR INPUT","")</f>
      </c>
      <c r="BF11">
        <v>4</v>
      </c>
      <c r="BG11" s="358">
        <f t="shared" si="2"/>
        <v>1</v>
      </c>
      <c r="BH11">
        <f t="shared" si="3"/>
        <v>4</v>
      </c>
      <c r="BI11" s="358">
        <f t="shared" si="4"/>
        <v>2</v>
      </c>
    </row>
    <row r="12" spans="1:61" ht="37.5" customHeight="1" thickBot="1">
      <c r="A12" s="1113"/>
      <c r="B12" s="1112"/>
      <c r="C12" s="665">
        <f t="shared" si="5"/>
        <v>5</v>
      </c>
      <c r="D12" s="769" t="s">
        <v>32</v>
      </c>
      <c r="E12" s="675">
        <v>523</v>
      </c>
      <c r="F12" s="206">
        <f t="shared" si="9"/>
        <v>5517</v>
      </c>
      <c r="G12" s="775">
        <f t="shared" si="10"/>
        <v>0.0948</v>
      </c>
      <c r="H12" s="771">
        <f t="shared" si="11"/>
        <v>1</v>
      </c>
      <c r="I12" s="776">
        <v>1</v>
      </c>
      <c r="J12" s="772">
        <f t="shared" si="12"/>
        <v>1</v>
      </c>
      <c r="K12" s="729">
        <f t="shared" si="13"/>
      </c>
      <c r="L12" s="72">
        <f t="shared" si="6"/>
        <v>1</v>
      </c>
      <c r="M12" s="72">
        <f t="shared" si="7"/>
      </c>
      <c r="N12" s="72">
        <f t="shared" si="8"/>
      </c>
      <c r="O12" s="72">
        <f t="shared" si="14"/>
      </c>
      <c r="P12" s="5">
        <v>0</v>
      </c>
      <c r="Q12" s="5">
        <v>0</v>
      </c>
      <c r="R12" s="5">
        <v>0.0009</v>
      </c>
      <c r="S12" s="5">
        <v>9.9999</v>
      </c>
      <c r="T12" s="5">
        <v>10</v>
      </c>
      <c r="U12" s="5">
        <v>19.999</v>
      </c>
      <c r="V12" s="5">
        <v>20</v>
      </c>
      <c r="W12" s="5">
        <v>29.999</v>
      </c>
      <c r="X12" s="5">
        <v>30</v>
      </c>
      <c r="Y12" s="76">
        <v>10000</v>
      </c>
      <c r="Z12" s="255">
        <f t="shared" si="1"/>
        <v>1</v>
      </c>
      <c r="AA12" s="446" t="s">
        <v>484</v>
      </c>
      <c r="AB12" s="447" t="s">
        <v>220</v>
      </c>
      <c r="AC12" s="878" t="s">
        <v>382</v>
      </c>
      <c r="AD12" s="904" t="str">
        <f aca="true" t="shared" si="16" ref="AD12:AD19">IF(+$AD$11&lt;&gt;"",+$AD$11,"")</f>
        <v>YES</v>
      </c>
      <c r="AE12" s="875" t="s">
        <v>498</v>
      </c>
      <c r="AF12" s="348"/>
      <c r="AG12" s="1005" t="s">
        <v>216</v>
      </c>
      <c r="AH12" s="1006"/>
      <c r="AI12" s="1006"/>
      <c r="AJ12" s="1006"/>
      <c r="AK12" s="1006"/>
      <c r="AL12" s="1006"/>
      <c r="AM12" s="1006"/>
      <c r="AN12" s="1006"/>
      <c r="AO12" s="1006"/>
      <c r="AP12" s="1006"/>
      <c r="AQ12" s="1006"/>
      <c r="AR12" s="1006"/>
      <c r="AS12" s="1006"/>
      <c r="AT12" s="1006"/>
      <c r="AU12" s="1006"/>
      <c r="AV12" s="1006"/>
      <c r="AW12" s="1006"/>
      <c r="AX12" s="1006"/>
      <c r="AY12" s="1006"/>
      <c r="AZ12" s="1007"/>
      <c r="BA12" s="357">
        <f t="shared" si="15"/>
      </c>
      <c r="BF12">
        <v>4</v>
      </c>
      <c r="BG12" s="358">
        <f t="shared" si="2"/>
        <v>1</v>
      </c>
      <c r="BH12">
        <f t="shared" si="3"/>
        <v>4</v>
      </c>
      <c r="BI12" s="358">
        <f t="shared" si="4"/>
        <v>1</v>
      </c>
    </row>
    <row r="13" spans="1:61" ht="37.5" customHeight="1" thickBot="1">
      <c r="A13" s="1113"/>
      <c r="B13" s="1112"/>
      <c r="C13" s="665">
        <f t="shared" si="5"/>
        <v>6</v>
      </c>
      <c r="D13" s="769" t="s">
        <v>33</v>
      </c>
      <c r="E13" s="675">
        <v>3227</v>
      </c>
      <c r="F13" s="206">
        <f t="shared" si="9"/>
        <v>5517</v>
      </c>
      <c r="G13" s="775">
        <f t="shared" si="10"/>
        <v>0.5849</v>
      </c>
      <c r="H13" s="771">
        <f t="shared" si="11"/>
        <v>4</v>
      </c>
      <c r="I13" s="776">
        <v>1</v>
      </c>
      <c r="J13" s="772">
        <f t="shared" si="12"/>
        <v>4</v>
      </c>
      <c r="K13" s="729">
        <f t="shared" si="13"/>
      </c>
      <c r="L13" s="72">
        <f t="shared" si="6"/>
      </c>
      <c r="M13" s="72">
        <f t="shared" si="7"/>
      </c>
      <c r="N13" s="72">
        <f t="shared" si="8"/>
      </c>
      <c r="O13" s="72">
        <f t="shared" si="14"/>
        <v>4</v>
      </c>
      <c r="P13" s="5">
        <v>0</v>
      </c>
      <c r="Q13" s="5">
        <v>0</v>
      </c>
      <c r="R13" s="5">
        <v>0.0009</v>
      </c>
      <c r="S13" s="5">
        <v>14.999</v>
      </c>
      <c r="T13" s="5">
        <v>15</v>
      </c>
      <c r="U13" s="5">
        <v>29.999</v>
      </c>
      <c r="V13" s="5">
        <v>30</v>
      </c>
      <c r="W13" s="5">
        <v>44.999</v>
      </c>
      <c r="X13" s="5">
        <v>45</v>
      </c>
      <c r="Y13" s="76">
        <v>10000</v>
      </c>
      <c r="Z13" s="255">
        <f t="shared" si="1"/>
        <v>1</v>
      </c>
      <c r="AA13" s="446" t="s">
        <v>484</v>
      </c>
      <c r="AB13" s="447" t="s">
        <v>220</v>
      </c>
      <c r="AC13" s="878" t="s">
        <v>382</v>
      </c>
      <c r="AD13" s="904" t="str">
        <f t="shared" si="16"/>
        <v>YES</v>
      </c>
      <c r="AE13" s="875" t="s">
        <v>498</v>
      </c>
      <c r="AF13" s="348"/>
      <c r="AG13" s="1005" t="s">
        <v>216</v>
      </c>
      <c r="AH13" s="1006"/>
      <c r="AI13" s="1006"/>
      <c r="AJ13" s="1006"/>
      <c r="AK13" s="1006"/>
      <c r="AL13" s="1006"/>
      <c r="AM13" s="1006"/>
      <c r="AN13" s="1006"/>
      <c r="AO13" s="1006"/>
      <c r="AP13" s="1006"/>
      <c r="AQ13" s="1006"/>
      <c r="AR13" s="1006"/>
      <c r="AS13" s="1006"/>
      <c r="AT13" s="1006"/>
      <c r="AU13" s="1006"/>
      <c r="AV13" s="1006"/>
      <c r="AW13" s="1006"/>
      <c r="AX13" s="1006"/>
      <c r="AY13" s="1006"/>
      <c r="AZ13" s="1007"/>
      <c r="BA13" s="357">
        <f t="shared" si="15"/>
      </c>
      <c r="BF13">
        <v>4</v>
      </c>
      <c r="BG13" s="358">
        <f t="shared" si="2"/>
        <v>1</v>
      </c>
      <c r="BH13">
        <f t="shared" si="3"/>
        <v>4</v>
      </c>
      <c r="BI13" s="358">
        <f t="shared" si="4"/>
        <v>4</v>
      </c>
    </row>
    <row r="14" spans="1:61" ht="37.5" customHeight="1" thickBot="1">
      <c r="A14" s="1113"/>
      <c r="B14" s="1112"/>
      <c r="C14" s="665">
        <f t="shared" si="5"/>
        <v>7</v>
      </c>
      <c r="D14" s="769" t="s">
        <v>34</v>
      </c>
      <c r="E14" s="675">
        <v>36</v>
      </c>
      <c r="F14" s="206">
        <f t="shared" si="9"/>
        <v>5517</v>
      </c>
      <c r="G14" s="775">
        <f t="shared" si="10"/>
        <v>0.0065</v>
      </c>
      <c r="H14" s="771">
        <f t="shared" si="11"/>
        <v>1</v>
      </c>
      <c r="I14" s="776">
        <v>1</v>
      </c>
      <c r="J14" s="772">
        <f t="shared" si="12"/>
        <v>1</v>
      </c>
      <c r="K14" s="729">
        <f t="shared" si="13"/>
      </c>
      <c r="L14" s="72">
        <f t="shared" si="6"/>
        <v>1</v>
      </c>
      <c r="M14" s="72">
        <f t="shared" si="7"/>
      </c>
      <c r="N14" s="72">
        <f t="shared" si="8"/>
      </c>
      <c r="O14" s="72">
        <f t="shared" si="14"/>
      </c>
      <c r="P14" s="5">
        <v>0</v>
      </c>
      <c r="Q14" s="5">
        <v>0</v>
      </c>
      <c r="R14" s="5">
        <v>0.0009</v>
      </c>
      <c r="S14" s="5">
        <v>1.999</v>
      </c>
      <c r="T14" s="5">
        <v>2</v>
      </c>
      <c r="U14" s="5">
        <v>3.999</v>
      </c>
      <c r="V14" s="5">
        <v>4</v>
      </c>
      <c r="W14" s="5">
        <v>5.999</v>
      </c>
      <c r="X14" s="5">
        <v>6</v>
      </c>
      <c r="Y14" s="76">
        <v>10000</v>
      </c>
      <c r="Z14" s="255">
        <f t="shared" si="1"/>
        <v>1</v>
      </c>
      <c r="AA14" s="446" t="s">
        <v>484</v>
      </c>
      <c r="AB14" s="447" t="s">
        <v>220</v>
      </c>
      <c r="AC14" s="878" t="s">
        <v>382</v>
      </c>
      <c r="AD14" s="904" t="str">
        <f t="shared" si="16"/>
        <v>YES</v>
      </c>
      <c r="AE14" s="875" t="s">
        <v>498</v>
      </c>
      <c r="AF14" s="348"/>
      <c r="AG14" s="1005" t="s">
        <v>213</v>
      </c>
      <c r="AH14" s="1006"/>
      <c r="AI14" s="1006"/>
      <c r="AJ14" s="1006"/>
      <c r="AK14" s="1006"/>
      <c r="AL14" s="1006"/>
      <c r="AM14" s="1006"/>
      <c r="AN14" s="1006"/>
      <c r="AO14" s="1006"/>
      <c r="AP14" s="1006"/>
      <c r="AQ14" s="1006"/>
      <c r="AR14" s="1006"/>
      <c r="AS14" s="1006"/>
      <c r="AT14" s="1006"/>
      <c r="AU14" s="1006"/>
      <c r="AV14" s="1006"/>
      <c r="AW14" s="1006"/>
      <c r="AX14" s="1006"/>
      <c r="AY14" s="1006"/>
      <c r="AZ14" s="1007"/>
      <c r="BA14" s="357">
        <f t="shared" si="15"/>
      </c>
      <c r="BF14">
        <v>4</v>
      </c>
      <c r="BG14" s="358">
        <f t="shared" si="2"/>
        <v>1</v>
      </c>
      <c r="BH14">
        <f t="shared" si="3"/>
        <v>4</v>
      </c>
      <c r="BI14" s="358">
        <f t="shared" si="4"/>
        <v>1</v>
      </c>
    </row>
    <row r="15" spans="1:61" ht="37.5" customHeight="1" thickBot="1">
      <c r="A15" s="1113"/>
      <c r="B15" s="1112"/>
      <c r="C15" s="665">
        <f t="shared" si="5"/>
        <v>8</v>
      </c>
      <c r="D15" s="769" t="s">
        <v>35</v>
      </c>
      <c r="E15" s="675">
        <v>0</v>
      </c>
      <c r="F15" s="206">
        <f t="shared" si="9"/>
        <v>5517</v>
      </c>
      <c r="G15" s="775">
        <f t="shared" si="10"/>
        <v>0</v>
      </c>
      <c r="H15" s="771">
        <f t="shared" si="11"/>
        <v>0</v>
      </c>
      <c r="I15" s="776">
        <v>1</v>
      </c>
      <c r="J15" s="772">
        <f t="shared" si="12"/>
        <v>0</v>
      </c>
      <c r="K15" s="729">
        <f t="shared" si="13"/>
        <v>0</v>
      </c>
      <c r="L15" s="72">
        <f t="shared" si="6"/>
      </c>
      <c r="M15" s="72">
        <f t="shared" si="7"/>
      </c>
      <c r="N15" s="72">
        <f t="shared" si="8"/>
      </c>
      <c r="O15" s="72">
        <f t="shared" si="14"/>
      </c>
      <c r="P15" s="5">
        <v>0</v>
      </c>
      <c r="Q15" s="5">
        <v>0</v>
      </c>
      <c r="R15" s="5">
        <v>0.0009</v>
      </c>
      <c r="S15" s="5">
        <v>1.999</v>
      </c>
      <c r="T15" s="5">
        <v>2</v>
      </c>
      <c r="U15" s="5">
        <v>3.999</v>
      </c>
      <c r="V15" s="5">
        <v>4</v>
      </c>
      <c r="W15" s="5">
        <v>5.999</v>
      </c>
      <c r="X15" s="5">
        <v>6</v>
      </c>
      <c r="Y15" s="76">
        <v>10000</v>
      </c>
      <c r="Z15" s="255">
        <f t="shared" si="1"/>
        <v>0</v>
      </c>
      <c r="AA15" s="446"/>
      <c r="AB15" s="447" t="s">
        <v>220</v>
      </c>
      <c r="AC15" s="878"/>
      <c r="AD15" s="904" t="s">
        <v>396</v>
      </c>
      <c r="AE15" s="875" t="s">
        <v>499</v>
      </c>
      <c r="AF15" s="348"/>
      <c r="AG15" s="1005" t="s">
        <v>213</v>
      </c>
      <c r="AH15" s="1006"/>
      <c r="AI15" s="1006"/>
      <c r="AJ15" s="1006"/>
      <c r="AK15" s="1006"/>
      <c r="AL15" s="1006"/>
      <c r="AM15" s="1006"/>
      <c r="AN15" s="1006"/>
      <c r="AO15" s="1006"/>
      <c r="AP15" s="1006"/>
      <c r="AQ15" s="1006"/>
      <c r="AR15" s="1006"/>
      <c r="AS15" s="1006"/>
      <c r="AT15" s="1006"/>
      <c r="AU15" s="1006"/>
      <c r="AV15" s="1006"/>
      <c r="AW15" s="1006"/>
      <c r="AX15" s="1006"/>
      <c r="AY15" s="1006"/>
      <c r="AZ15" s="1007"/>
      <c r="BA15" s="357">
        <f t="shared" si="15"/>
      </c>
      <c r="BF15">
        <v>4</v>
      </c>
      <c r="BG15" s="358">
        <f t="shared" si="2"/>
        <v>1</v>
      </c>
      <c r="BH15">
        <f t="shared" si="3"/>
        <v>4</v>
      </c>
      <c r="BI15" s="358">
        <f t="shared" si="4"/>
        <v>0</v>
      </c>
    </row>
    <row r="16" spans="1:61" ht="37.5" customHeight="1" thickBot="1">
      <c r="A16" s="1113" t="s">
        <v>6</v>
      </c>
      <c r="B16" s="1112" t="s">
        <v>8</v>
      </c>
      <c r="C16" s="665">
        <f t="shared" si="5"/>
        <v>9</v>
      </c>
      <c r="D16" s="769" t="s">
        <v>36</v>
      </c>
      <c r="E16" s="675">
        <v>43</v>
      </c>
      <c r="F16" s="206">
        <f t="shared" si="9"/>
        <v>5517</v>
      </c>
      <c r="G16" s="775">
        <f t="shared" si="10"/>
        <v>0.0078</v>
      </c>
      <c r="H16" s="771">
        <f t="shared" si="11"/>
        <v>1</v>
      </c>
      <c r="I16" s="776">
        <v>1</v>
      </c>
      <c r="J16" s="772">
        <f t="shared" si="12"/>
        <v>1</v>
      </c>
      <c r="K16" s="729">
        <f t="shared" si="13"/>
      </c>
      <c r="L16" s="72">
        <f t="shared" si="6"/>
        <v>1</v>
      </c>
      <c r="M16" s="72">
        <f t="shared" si="7"/>
      </c>
      <c r="N16" s="72">
        <f t="shared" si="8"/>
      </c>
      <c r="O16" s="72">
        <f t="shared" si="14"/>
      </c>
      <c r="P16" s="5">
        <v>0</v>
      </c>
      <c r="Q16" s="5">
        <v>0</v>
      </c>
      <c r="R16" s="5">
        <v>0.0009</v>
      </c>
      <c r="S16" s="5">
        <v>0.999</v>
      </c>
      <c r="T16" s="5">
        <v>1</v>
      </c>
      <c r="U16" s="5">
        <v>1.999</v>
      </c>
      <c r="V16" s="5">
        <v>2</v>
      </c>
      <c r="W16" s="5">
        <v>2.999</v>
      </c>
      <c r="X16" s="5">
        <v>3</v>
      </c>
      <c r="Y16" s="76">
        <v>10000</v>
      </c>
      <c r="Z16" s="255">
        <f t="shared" si="1"/>
        <v>1</v>
      </c>
      <c r="AA16" s="446" t="s">
        <v>484</v>
      </c>
      <c r="AB16" s="447" t="s">
        <v>220</v>
      </c>
      <c r="AC16" s="878" t="s">
        <v>382</v>
      </c>
      <c r="AD16" s="904" t="str">
        <f t="shared" si="16"/>
        <v>YES</v>
      </c>
      <c r="AE16" s="875" t="s">
        <v>498</v>
      </c>
      <c r="AF16" s="348"/>
      <c r="AG16" s="1080" t="s">
        <v>216</v>
      </c>
      <c r="AH16" s="1081"/>
      <c r="AI16" s="1081"/>
      <c r="AJ16" s="1081"/>
      <c r="AK16" s="1081"/>
      <c r="AL16" s="1081"/>
      <c r="AM16" s="1081"/>
      <c r="AN16" s="1081"/>
      <c r="AO16" s="1081"/>
      <c r="AP16" s="1081"/>
      <c r="AQ16" s="1081"/>
      <c r="AR16" s="1081"/>
      <c r="AS16" s="1081"/>
      <c r="AT16" s="1081"/>
      <c r="AU16" s="1081"/>
      <c r="AV16" s="1081"/>
      <c r="AW16" s="1081"/>
      <c r="AX16" s="1081"/>
      <c r="AY16" s="1081"/>
      <c r="AZ16" s="1082"/>
      <c r="BA16" s="357">
        <f t="shared" si="15"/>
      </c>
      <c r="BF16">
        <v>4</v>
      </c>
      <c r="BG16" s="358">
        <f t="shared" si="2"/>
        <v>1</v>
      </c>
      <c r="BH16">
        <f t="shared" si="3"/>
        <v>4</v>
      </c>
      <c r="BI16" s="358">
        <f t="shared" si="4"/>
        <v>1</v>
      </c>
    </row>
    <row r="17" spans="1:61" ht="37.5" customHeight="1" thickBot="1">
      <c r="A17" s="1113"/>
      <c r="B17" s="1112"/>
      <c r="C17" s="665">
        <f t="shared" si="5"/>
        <v>10</v>
      </c>
      <c r="D17" s="769" t="s">
        <v>37</v>
      </c>
      <c r="E17" s="675">
        <v>287</v>
      </c>
      <c r="F17" s="206">
        <f t="shared" si="9"/>
        <v>5517</v>
      </c>
      <c r="G17" s="775">
        <f t="shared" si="10"/>
        <v>0.052</v>
      </c>
      <c r="H17" s="771">
        <f t="shared" si="11"/>
        <v>3</v>
      </c>
      <c r="I17" s="776">
        <v>0.5</v>
      </c>
      <c r="J17" s="772">
        <f t="shared" si="12"/>
        <v>1.5</v>
      </c>
      <c r="K17" s="729">
        <f t="shared" si="13"/>
      </c>
      <c r="L17" s="72">
        <f t="shared" si="6"/>
      </c>
      <c r="M17" s="72">
        <f t="shared" si="7"/>
      </c>
      <c r="N17" s="72">
        <f t="shared" si="8"/>
        <v>3</v>
      </c>
      <c r="O17" s="72">
        <f t="shared" si="14"/>
      </c>
      <c r="P17" s="5">
        <v>0</v>
      </c>
      <c r="Q17" s="5">
        <v>0</v>
      </c>
      <c r="R17" s="5">
        <v>0.0009</v>
      </c>
      <c r="S17" s="5">
        <v>1.999</v>
      </c>
      <c r="T17" s="5">
        <v>2</v>
      </c>
      <c r="U17" s="5">
        <v>3.999</v>
      </c>
      <c r="V17" s="5">
        <v>4</v>
      </c>
      <c r="W17" s="5">
        <v>5.999</v>
      </c>
      <c r="X17" s="5">
        <v>6</v>
      </c>
      <c r="Y17" s="76">
        <v>10000</v>
      </c>
      <c r="Z17" s="255">
        <f t="shared" si="1"/>
        <v>1</v>
      </c>
      <c r="AA17" s="446" t="s">
        <v>484</v>
      </c>
      <c r="AB17" s="447" t="s">
        <v>220</v>
      </c>
      <c r="AC17" s="878" t="s">
        <v>383</v>
      </c>
      <c r="AD17" s="904" t="str">
        <f t="shared" si="16"/>
        <v>YES</v>
      </c>
      <c r="AE17" s="875" t="s">
        <v>498</v>
      </c>
      <c r="AF17" s="348"/>
      <c r="AG17" s="1005" t="s">
        <v>213</v>
      </c>
      <c r="AH17" s="1006"/>
      <c r="AI17" s="1006"/>
      <c r="AJ17" s="1006"/>
      <c r="AK17" s="1006"/>
      <c r="AL17" s="1006"/>
      <c r="AM17" s="1006"/>
      <c r="AN17" s="1006"/>
      <c r="AO17" s="1006"/>
      <c r="AP17" s="1006"/>
      <c r="AQ17" s="1006"/>
      <c r="AR17" s="1006"/>
      <c r="AS17" s="1006"/>
      <c r="AT17" s="1006"/>
      <c r="AU17" s="1006"/>
      <c r="AV17" s="1006"/>
      <c r="AW17" s="1006"/>
      <c r="AX17" s="1006"/>
      <c r="AY17" s="1006"/>
      <c r="AZ17" s="1007"/>
      <c r="BA17" s="357">
        <f t="shared" si="15"/>
      </c>
      <c r="BF17">
        <v>4</v>
      </c>
      <c r="BG17" s="358">
        <f t="shared" si="2"/>
        <v>0.5</v>
      </c>
      <c r="BH17">
        <f t="shared" si="3"/>
        <v>2</v>
      </c>
      <c r="BI17" s="358">
        <f t="shared" si="4"/>
        <v>1.5</v>
      </c>
    </row>
    <row r="18" spans="1:61" ht="37.5" customHeight="1" thickBot="1">
      <c r="A18" s="1113"/>
      <c r="B18" s="1112"/>
      <c r="C18" s="665">
        <f t="shared" si="5"/>
        <v>11</v>
      </c>
      <c r="D18" s="769" t="s">
        <v>38</v>
      </c>
      <c r="E18" s="675">
        <v>419</v>
      </c>
      <c r="F18" s="206">
        <f t="shared" si="9"/>
        <v>5517</v>
      </c>
      <c r="G18" s="775">
        <f t="shared" si="10"/>
        <v>0.0759</v>
      </c>
      <c r="H18" s="771">
        <f t="shared" si="11"/>
        <v>1</v>
      </c>
      <c r="I18" s="776">
        <v>0.5</v>
      </c>
      <c r="J18" s="772">
        <f t="shared" si="12"/>
        <v>0.5</v>
      </c>
      <c r="K18" s="729">
        <f t="shared" si="13"/>
      </c>
      <c r="L18" s="72">
        <f t="shared" si="6"/>
        <v>1</v>
      </c>
      <c r="M18" s="72">
        <f t="shared" si="7"/>
      </c>
      <c r="N18" s="72">
        <f t="shared" si="8"/>
      </c>
      <c r="O18" s="72">
        <f t="shared" si="14"/>
      </c>
      <c r="P18" s="5">
        <v>0</v>
      </c>
      <c r="Q18" s="5">
        <v>0</v>
      </c>
      <c r="R18" s="5">
        <v>0.0009</v>
      </c>
      <c r="S18" s="5">
        <v>9.9999</v>
      </c>
      <c r="T18" s="5">
        <v>10</v>
      </c>
      <c r="U18" s="5">
        <v>19.999</v>
      </c>
      <c r="V18" s="5">
        <v>20</v>
      </c>
      <c r="W18" s="5">
        <v>29.999</v>
      </c>
      <c r="X18" s="5">
        <v>30</v>
      </c>
      <c r="Y18" s="76">
        <v>10000</v>
      </c>
      <c r="Z18" s="255">
        <f t="shared" si="1"/>
        <v>1</v>
      </c>
      <c r="AA18" s="446" t="s">
        <v>484</v>
      </c>
      <c r="AB18" s="447" t="s">
        <v>220</v>
      </c>
      <c r="AC18" s="878" t="s">
        <v>383</v>
      </c>
      <c r="AD18" s="904" t="str">
        <f t="shared" si="16"/>
        <v>YES</v>
      </c>
      <c r="AE18" s="875" t="s">
        <v>498</v>
      </c>
      <c r="AF18" s="348"/>
      <c r="AG18" s="1005" t="s">
        <v>213</v>
      </c>
      <c r="AH18" s="1006"/>
      <c r="AI18" s="1006"/>
      <c r="AJ18" s="1006"/>
      <c r="AK18" s="1006"/>
      <c r="AL18" s="1006"/>
      <c r="AM18" s="1006"/>
      <c r="AN18" s="1006"/>
      <c r="AO18" s="1006"/>
      <c r="AP18" s="1006"/>
      <c r="AQ18" s="1006"/>
      <c r="AR18" s="1006"/>
      <c r="AS18" s="1006"/>
      <c r="AT18" s="1006"/>
      <c r="AU18" s="1006"/>
      <c r="AV18" s="1006"/>
      <c r="AW18" s="1006"/>
      <c r="AX18" s="1006"/>
      <c r="AY18" s="1006"/>
      <c r="AZ18" s="1007"/>
      <c r="BA18" s="357">
        <f t="shared" si="15"/>
      </c>
      <c r="BF18">
        <v>4</v>
      </c>
      <c r="BG18" s="358">
        <f t="shared" si="2"/>
        <v>0.5</v>
      </c>
      <c r="BH18">
        <f t="shared" si="3"/>
        <v>2</v>
      </c>
      <c r="BI18" s="358">
        <f t="shared" si="4"/>
        <v>0.5</v>
      </c>
    </row>
    <row r="19" spans="1:63" ht="37.5" customHeight="1" thickBot="1">
      <c r="A19" s="1113"/>
      <c r="B19" s="1112"/>
      <c r="C19" s="665">
        <f t="shared" si="5"/>
        <v>12</v>
      </c>
      <c r="D19" s="769" t="s">
        <v>39</v>
      </c>
      <c r="E19" s="675">
        <v>8</v>
      </c>
      <c r="F19" s="206">
        <f t="shared" si="9"/>
        <v>5517</v>
      </c>
      <c r="G19" s="775">
        <f t="shared" si="10"/>
        <v>0.0015</v>
      </c>
      <c r="H19" s="771">
        <f t="shared" si="11"/>
        <v>2</v>
      </c>
      <c r="I19" s="776">
        <v>0.5</v>
      </c>
      <c r="J19" s="772">
        <f t="shared" si="12"/>
        <v>1</v>
      </c>
      <c r="K19" s="729">
        <f t="shared" si="13"/>
      </c>
      <c r="L19" s="72">
        <f t="shared" si="6"/>
      </c>
      <c r="M19" s="72">
        <f t="shared" si="7"/>
        <v>2</v>
      </c>
      <c r="N19" s="72">
        <f t="shared" si="8"/>
      </c>
      <c r="O19" s="72">
        <f t="shared" si="14"/>
      </c>
      <c r="P19" s="5">
        <v>0</v>
      </c>
      <c r="Q19" s="5">
        <v>0</v>
      </c>
      <c r="R19" s="5">
        <v>0.0009</v>
      </c>
      <c r="S19" s="5">
        <v>0.099</v>
      </c>
      <c r="T19" s="5">
        <v>0.1</v>
      </c>
      <c r="U19" s="5">
        <v>0.1999</v>
      </c>
      <c r="V19" s="5">
        <v>0.2</v>
      </c>
      <c r="W19" s="5">
        <v>0.2999</v>
      </c>
      <c r="X19" s="5">
        <v>0.3</v>
      </c>
      <c r="Y19" s="76">
        <v>10000</v>
      </c>
      <c r="Z19" s="255">
        <f t="shared" si="1"/>
        <v>1</v>
      </c>
      <c r="AA19" s="448" t="s">
        <v>484</v>
      </c>
      <c r="AB19" s="449" t="s">
        <v>220</v>
      </c>
      <c r="AC19" s="879" t="s">
        <v>384</v>
      </c>
      <c r="AD19" s="904" t="str">
        <f t="shared" si="16"/>
        <v>YES</v>
      </c>
      <c r="AE19" s="875" t="s">
        <v>498</v>
      </c>
      <c r="AF19" s="348"/>
      <c r="AG19" s="1080" t="s">
        <v>251</v>
      </c>
      <c r="AH19" s="1081"/>
      <c r="AI19" s="1081"/>
      <c r="AJ19" s="1081"/>
      <c r="AK19" s="1081"/>
      <c r="AL19" s="1081"/>
      <c r="AM19" s="1081"/>
      <c r="AN19" s="1081"/>
      <c r="AO19" s="1081"/>
      <c r="AP19" s="1081"/>
      <c r="AQ19" s="1081"/>
      <c r="AR19" s="1081"/>
      <c r="AS19" s="1081"/>
      <c r="AT19" s="1081"/>
      <c r="AU19" s="1081"/>
      <c r="AV19" s="1081"/>
      <c r="AW19" s="1081"/>
      <c r="AX19" s="1081"/>
      <c r="AY19" s="1081"/>
      <c r="AZ19" s="1082"/>
      <c r="BA19" s="357">
        <f t="shared" si="15"/>
      </c>
      <c r="BF19">
        <v>4</v>
      </c>
      <c r="BG19" s="358">
        <f t="shared" si="2"/>
        <v>0.5</v>
      </c>
      <c r="BH19">
        <f t="shared" si="3"/>
        <v>2</v>
      </c>
      <c r="BI19" s="358">
        <f t="shared" si="4"/>
        <v>1</v>
      </c>
      <c r="BJ19" s="358">
        <f>SUM(BH9:BH19)</f>
        <v>36</v>
      </c>
      <c r="BK19" s="358">
        <f>SUM(BI9:BI19)</f>
        <v>15</v>
      </c>
    </row>
    <row r="20" spans="1:61" ht="37.5" customHeight="1" thickBot="1">
      <c r="A20" s="1113"/>
      <c r="B20" s="1026" t="s">
        <v>9</v>
      </c>
      <c r="C20" s="315">
        <f t="shared" si="5"/>
        <v>13</v>
      </c>
      <c r="D20" s="777" t="s">
        <v>40</v>
      </c>
      <c r="E20" s="1014">
        <v>4</v>
      </c>
      <c r="F20" s="1014"/>
      <c r="G20" s="778">
        <f>+E20</f>
        <v>4</v>
      </c>
      <c r="H20" s="779">
        <f>IF(E20="","",SUM(K20:O20))</f>
        <v>4</v>
      </c>
      <c r="I20" s="780">
        <v>1</v>
      </c>
      <c r="J20" s="781">
        <f t="shared" si="12"/>
        <v>4</v>
      </c>
      <c r="K20" s="731">
        <f>IF($E20&lt;$R20,$K$5,"")</f>
      </c>
      <c r="L20" s="48">
        <f>IF(AND($E20&lt;$T20,$E20&gt;$Q20),$L$5,"")</f>
      </c>
      <c r="M20" s="48">
        <f>IF(AND($E20&lt;$V20,$E20&gt;$S20),$M$5,"")</f>
      </c>
      <c r="N20" s="48">
        <f>IF(AND($E20&lt;$X20,$E20&gt;$U20),$N$5,"")</f>
      </c>
      <c r="O20" s="48">
        <f>IF(AND($E20&lt;Y20,E20&gt;W20),$O$5,"")</f>
        <v>4</v>
      </c>
      <c r="P20" s="6">
        <v>0</v>
      </c>
      <c r="Q20" s="6">
        <v>0.999</v>
      </c>
      <c r="R20" s="6">
        <v>1</v>
      </c>
      <c r="S20" s="6">
        <v>1.999</v>
      </c>
      <c r="T20" s="6">
        <v>2</v>
      </c>
      <c r="U20" s="6">
        <v>2.999</v>
      </c>
      <c r="V20" s="6">
        <v>3</v>
      </c>
      <c r="W20" s="6">
        <v>3.999</v>
      </c>
      <c r="X20" s="6">
        <v>4</v>
      </c>
      <c r="Y20" s="79">
        <v>10000</v>
      </c>
      <c r="Z20" s="255">
        <f t="shared" si="1"/>
        <v>1</v>
      </c>
      <c r="AA20" s="451" t="s">
        <v>485</v>
      </c>
      <c r="AB20" s="452" t="s">
        <v>220</v>
      </c>
      <c r="AC20" s="880" t="s">
        <v>385</v>
      </c>
      <c r="AD20" s="904" t="s">
        <v>417</v>
      </c>
      <c r="AE20" s="875" t="s">
        <v>498</v>
      </c>
      <c r="AF20" s="348"/>
      <c r="AG20" s="1005" t="s">
        <v>216</v>
      </c>
      <c r="AH20" s="1006"/>
      <c r="AI20" s="1006"/>
      <c r="AJ20" s="1006"/>
      <c r="AK20" s="1006"/>
      <c r="AL20" s="1006"/>
      <c r="AM20" s="1006"/>
      <c r="AN20" s="1006"/>
      <c r="AO20" s="1006"/>
      <c r="AP20" s="1006"/>
      <c r="AQ20" s="1006"/>
      <c r="AR20" s="1006"/>
      <c r="AS20" s="1006"/>
      <c r="AT20" s="1006"/>
      <c r="AU20" s="1006"/>
      <c r="AV20" s="1006"/>
      <c r="AW20" s="1006"/>
      <c r="AX20" s="1006"/>
      <c r="AY20" s="1006"/>
      <c r="AZ20" s="1007"/>
      <c r="BA20" s="356"/>
      <c r="BF20">
        <v>4</v>
      </c>
      <c r="BG20" s="358">
        <f t="shared" si="2"/>
        <v>1</v>
      </c>
      <c r="BH20">
        <f t="shared" si="3"/>
        <v>4</v>
      </c>
      <c r="BI20" s="358">
        <f t="shared" si="4"/>
        <v>4</v>
      </c>
    </row>
    <row r="21" spans="1:61" ht="37.5" customHeight="1" thickBot="1">
      <c r="A21" s="1113"/>
      <c r="B21" s="1026"/>
      <c r="C21" s="315">
        <f t="shared" si="5"/>
        <v>14</v>
      </c>
      <c r="D21" s="777" t="s">
        <v>41</v>
      </c>
      <c r="E21" s="1014">
        <v>45</v>
      </c>
      <c r="F21" s="1014"/>
      <c r="G21" s="778">
        <f>+E21</f>
        <v>45</v>
      </c>
      <c r="H21" s="779">
        <f>IF(E21="","",SUM(K21:O21))</f>
        <v>4</v>
      </c>
      <c r="I21" s="780">
        <v>1.5</v>
      </c>
      <c r="J21" s="781">
        <f t="shared" si="12"/>
        <v>6</v>
      </c>
      <c r="K21" s="731">
        <f>IF($E21&lt;$R21,$K$5,"")</f>
      </c>
      <c r="L21" s="48">
        <f>IF(AND($E21&lt;$T21,$E21&gt;$Q21),$L$5,"")</f>
      </c>
      <c r="M21" s="48">
        <f>IF(AND($E21&lt;$V21,$E21&gt;$S21),$M$5,"")</f>
      </c>
      <c r="N21" s="48">
        <f>IF(AND($E21&lt;$X21,$E21&gt;$U21),$N$5,"")</f>
      </c>
      <c r="O21" s="48">
        <f>IF(AND($E21&lt;Y21,E21&gt;W21),$O$5,"")</f>
        <v>4</v>
      </c>
      <c r="P21" s="6">
        <v>0</v>
      </c>
      <c r="Q21" s="6">
        <v>2</v>
      </c>
      <c r="R21" s="6">
        <v>3</v>
      </c>
      <c r="S21" s="6">
        <v>5</v>
      </c>
      <c r="T21" s="6">
        <v>6</v>
      </c>
      <c r="U21" s="6">
        <v>8</v>
      </c>
      <c r="V21" s="6">
        <v>9</v>
      </c>
      <c r="W21" s="6">
        <v>12</v>
      </c>
      <c r="X21" s="6">
        <v>13</v>
      </c>
      <c r="Y21" s="79">
        <v>10000</v>
      </c>
      <c r="Z21" s="255">
        <f t="shared" si="1"/>
        <v>1</v>
      </c>
      <c r="AA21" s="451" t="s">
        <v>485</v>
      </c>
      <c r="AB21" s="452" t="s">
        <v>220</v>
      </c>
      <c r="AC21" s="880" t="s">
        <v>386</v>
      </c>
      <c r="AD21" s="904" t="str">
        <f>IF(+$AD$20&lt;&gt;"",+$AD$20,"")</f>
        <v>YES</v>
      </c>
      <c r="AE21" s="875" t="s">
        <v>498</v>
      </c>
      <c r="AF21" s="348"/>
      <c r="AG21" s="1005" t="s">
        <v>216</v>
      </c>
      <c r="AH21" s="1006"/>
      <c r="AI21" s="1006"/>
      <c r="AJ21" s="1006"/>
      <c r="AK21" s="1006"/>
      <c r="AL21" s="1006"/>
      <c r="AM21" s="1006"/>
      <c r="AN21" s="1006"/>
      <c r="AO21" s="1006"/>
      <c r="AP21" s="1006"/>
      <c r="AQ21" s="1006"/>
      <c r="AR21" s="1006"/>
      <c r="AS21" s="1006"/>
      <c r="AT21" s="1006"/>
      <c r="AU21" s="1006"/>
      <c r="AV21" s="1006"/>
      <c r="AW21" s="1006"/>
      <c r="AX21" s="1006"/>
      <c r="AY21" s="1006"/>
      <c r="AZ21" s="1007"/>
      <c r="BA21" s="356"/>
      <c r="BF21">
        <v>4</v>
      </c>
      <c r="BG21" s="358">
        <f t="shared" si="2"/>
        <v>1.5</v>
      </c>
      <c r="BH21">
        <f t="shared" si="3"/>
        <v>6</v>
      </c>
      <c r="BI21" s="358">
        <f t="shared" si="4"/>
        <v>6</v>
      </c>
    </row>
    <row r="22" spans="1:61" ht="37.5" customHeight="1" thickBot="1">
      <c r="A22" s="1113"/>
      <c r="B22" s="1026"/>
      <c r="C22" s="315">
        <f t="shared" si="5"/>
        <v>15</v>
      </c>
      <c r="D22" s="777" t="s">
        <v>42</v>
      </c>
      <c r="E22" s="1014">
        <v>6</v>
      </c>
      <c r="F22" s="1014"/>
      <c r="G22" s="778">
        <f>+E22</f>
        <v>6</v>
      </c>
      <c r="H22" s="779">
        <f>IF(E22="","",SUM(K22:O22))</f>
        <v>2</v>
      </c>
      <c r="I22" s="780">
        <v>0.5</v>
      </c>
      <c r="J22" s="781">
        <f t="shared" si="12"/>
        <v>1</v>
      </c>
      <c r="K22" s="731">
        <f>IF($E22&lt;$R22,$K$5,"")</f>
      </c>
      <c r="L22" s="48">
        <f>IF(AND($E22&lt;$T22,$E22&gt;$Q22),$L$5,"")</f>
      </c>
      <c r="M22" s="48">
        <f>IF(AND($E22&lt;$V22,$E22&gt;$S22),$M$5,"")</f>
        <v>2</v>
      </c>
      <c r="N22" s="48">
        <f>IF(AND($E22&lt;$X22,$E22&gt;$U22),$N$5,"")</f>
      </c>
      <c r="O22" s="48">
        <f>IF(AND($E22&lt;Y22,E22&gt;W22),$O$5,"")</f>
      </c>
      <c r="P22" s="6">
        <v>0</v>
      </c>
      <c r="Q22" s="6">
        <v>0</v>
      </c>
      <c r="R22" s="6">
        <v>1</v>
      </c>
      <c r="S22" s="6">
        <v>3</v>
      </c>
      <c r="T22" s="6">
        <v>4</v>
      </c>
      <c r="U22" s="6">
        <v>6</v>
      </c>
      <c r="V22" s="6">
        <v>7</v>
      </c>
      <c r="W22" s="6">
        <v>9</v>
      </c>
      <c r="X22" s="6">
        <v>10</v>
      </c>
      <c r="Y22" s="79">
        <v>10000</v>
      </c>
      <c r="Z22" s="255">
        <f t="shared" si="1"/>
        <v>1</v>
      </c>
      <c r="AA22" s="451" t="s">
        <v>485</v>
      </c>
      <c r="AB22" s="452" t="s">
        <v>220</v>
      </c>
      <c r="AC22" s="880" t="s">
        <v>386</v>
      </c>
      <c r="AD22" s="904" t="str">
        <f>IF(+$AD$20&lt;&gt;"",+$AD$20,"")</f>
        <v>YES</v>
      </c>
      <c r="AE22" s="875" t="s">
        <v>498</v>
      </c>
      <c r="AF22" s="348"/>
      <c r="AG22" s="1005" t="s">
        <v>216</v>
      </c>
      <c r="AH22" s="1006"/>
      <c r="AI22" s="1006"/>
      <c r="AJ22" s="1006"/>
      <c r="AK22" s="1006"/>
      <c r="AL22" s="1006"/>
      <c r="AM22" s="1006"/>
      <c r="AN22" s="1006"/>
      <c r="AO22" s="1006"/>
      <c r="AP22" s="1006"/>
      <c r="AQ22" s="1006"/>
      <c r="AR22" s="1006"/>
      <c r="AS22" s="1006"/>
      <c r="AT22" s="1006"/>
      <c r="AU22" s="1006"/>
      <c r="AV22" s="1006"/>
      <c r="AW22" s="1006"/>
      <c r="AX22" s="1006"/>
      <c r="AY22" s="1006"/>
      <c r="AZ22" s="1007"/>
      <c r="BA22" s="356"/>
      <c r="BF22">
        <v>4</v>
      </c>
      <c r="BG22" s="358">
        <f t="shared" si="2"/>
        <v>0.5</v>
      </c>
      <c r="BH22">
        <f t="shared" si="3"/>
        <v>2</v>
      </c>
      <c r="BI22" s="358">
        <f t="shared" si="4"/>
        <v>1</v>
      </c>
    </row>
    <row r="23" spans="1:61" ht="31.5" customHeight="1" thickBot="1">
      <c r="A23" s="1113"/>
      <c r="B23" s="1026"/>
      <c r="C23" s="315">
        <f t="shared" si="5"/>
        <v>16</v>
      </c>
      <c r="D23" s="777" t="s">
        <v>43</v>
      </c>
      <c r="E23" s="1014">
        <v>1</v>
      </c>
      <c r="F23" s="1014"/>
      <c r="G23" s="778">
        <f>+E23</f>
        <v>1</v>
      </c>
      <c r="H23" s="779">
        <f>IF(E23="","",SUM(K23:O23))</f>
        <v>1</v>
      </c>
      <c r="I23" s="780">
        <v>0.5</v>
      </c>
      <c r="J23" s="781">
        <f t="shared" si="12"/>
        <v>0.5</v>
      </c>
      <c r="K23" s="731">
        <f>IF($E23&lt;$R23,$K$5,"")</f>
      </c>
      <c r="L23" s="48">
        <f>IF(AND($E23&lt;$T23,$E23&gt;$Q23),$L$5,"")</f>
        <v>1</v>
      </c>
      <c r="M23" s="48">
        <f>IF(AND($E23&lt;$V23,$E23&gt;$S23),$M$5,"")</f>
      </c>
      <c r="N23" s="48">
        <f>IF(AND($E23&lt;$X23,$E23&gt;$U23),$N$5,"")</f>
      </c>
      <c r="O23" s="48">
        <f>IF(AND($E23&lt;Y23,E23&gt;W23),$O$5,"")</f>
      </c>
      <c r="P23" s="6">
        <v>0</v>
      </c>
      <c r="Q23" s="6">
        <v>0</v>
      </c>
      <c r="R23" s="6">
        <v>1</v>
      </c>
      <c r="S23" s="6">
        <v>5</v>
      </c>
      <c r="T23" s="6">
        <v>6</v>
      </c>
      <c r="U23" s="6">
        <v>10</v>
      </c>
      <c r="V23" s="6">
        <v>11</v>
      </c>
      <c r="W23" s="6">
        <v>15</v>
      </c>
      <c r="X23" s="6">
        <v>16</v>
      </c>
      <c r="Y23" s="79">
        <v>10000</v>
      </c>
      <c r="Z23" s="255">
        <f t="shared" si="1"/>
        <v>1</v>
      </c>
      <c r="AA23" s="451" t="s">
        <v>485</v>
      </c>
      <c r="AB23" s="452" t="s">
        <v>220</v>
      </c>
      <c r="AC23" s="880" t="s">
        <v>387</v>
      </c>
      <c r="AD23" s="904" t="s">
        <v>417</v>
      </c>
      <c r="AE23" s="875" t="s">
        <v>498</v>
      </c>
      <c r="AF23" s="348"/>
      <c r="AG23" s="1008" t="s">
        <v>214</v>
      </c>
      <c r="AH23" s="1009"/>
      <c r="AI23" s="1009"/>
      <c r="AJ23" s="1009"/>
      <c r="AK23" s="1009"/>
      <c r="AL23" s="1009"/>
      <c r="AM23" s="1009"/>
      <c r="AN23" s="1009"/>
      <c r="AO23" s="1009"/>
      <c r="AP23" s="1009"/>
      <c r="AQ23" s="1009"/>
      <c r="AR23" s="1009"/>
      <c r="AS23" s="1009"/>
      <c r="AT23" s="1009"/>
      <c r="AU23" s="1009"/>
      <c r="AV23" s="1009"/>
      <c r="AW23" s="1009"/>
      <c r="AX23" s="1009"/>
      <c r="AY23" s="1009"/>
      <c r="AZ23" s="1010"/>
      <c r="BA23" s="356"/>
      <c r="BF23">
        <v>4</v>
      </c>
      <c r="BG23" s="358">
        <f t="shared" si="2"/>
        <v>0.5</v>
      </c>
      <c r="BH23">
        <f t="shared" si="3"/>
        <v>2</v>
      </c>
      <c r="BI23" s="358">
        <f t="shared" si="4"/>
        <v>0.5</v>
      </c>
    </row>
    <row r="24" spans="1:61" ht="37.5" customHeight="1" thickBot="1">
      <c r="A24" s="1113"/>
      <c r="B24" s="1026"/>
      <c r="C24" s="315">
        <f t="shared" si="5"/>
        <v>17</v>
      </c>
      <c r="D24" s="905" t="s">
        <v>44</v>
      </c>
      <c r="E24" s="666">
        <v>0</v>
      </c>
      <c r="F24" s="207">
        <f>+$E$7</f>
        <v>5517</v>
      </c>
      <c r="G24" s="782">
        <f aca="true" t="shared" si="17" ref="G24:G43">IF(E24="","",ROUND(E24/F24,4))</f>
        <v>0</v>
      </c>
      <c r="H24" s="779">
        <f aca="true" t="shared" si="18" ref="H24:H43">IF(OR(E24="",F24="",F24=0),"",SUM(K24:O24))</f>
        <v>0</v>
      </c>
      <c r="I24" s="780">
        <v>0.5</v>
      </c>
      <c r="J24" s="781">
        <f t="shared" si="12"/>
        <v>0</v>
      </c>
      <c r="K24" s="732">
        <f aca="true" t="shared" si="19" ref="K24:K30">IF($G24&lt;$R24%,$K$5,"")</f>
        <v>0</v>
      </c>
      <c r="L24" s="33">
        <f aca="true" t="shared" si="20" ref="L24:L30">IF(AND($G24&lt;$T24%,$G24&gt;$Q24%),$L$5,"")</f>
      </c>
      <c r="M24" s="33">
        <f aca="true" t="shared" si="21" ref="M24:M30">IF(AND($G24&lt;$V24%,$G24&gt;$S24%),$M$5,"")</f>
      </c>
      <c r="N24" s="33">
        <f aca="true" t="shared" si="22" ref="N24:N30">IF(AND($G24&lt;$X24%,$G24&gt;$U24%),$N$5,"")</f>
      </c>
      <c r="O24" s="33">
        <f aca="true" t="shared" si="23" ref="O24:O30">IF(AND($G24&lt;Y24%,G24&gt;W24%),$O$5,"")</f>
      </c>
      <c r="P24" s="6">
        <v>0</v>
      </c>
      <c r="Q24" s="6">
        <v>0.999</v>
      </c>
      <c r="R24" s="6">
        <v>1</v>
      </c>
      <c r="S24" s="6">
        <v>2.999</v>
      </c>
      <c r="T24" s="6">
        <v>3</v>
      </c>
      <c r="U24" s="6">
        <v>5.999</v>
      </c>
      <c r="V24" s="6">
        <v>6</v>
      </c>
      <c r="W24" s="6">
        <v>9.999</v>
      </c>
      <c r="X24" s="6">
        <v>10</v>
      </c>
      <c r="Y24" s="79">
        <v>10000</v>
      </c>
      <c r="Z24" s="255">
        <f t="shared" si="1"/>
        <v>0</v>
      </c>
      <c r="AA24" s="451"/>
      <c r="AB24" s="452" t="s">
        <v>220</v>
      </c>
      <c r="AC24" s="880"/>
      <c r="AD24" s="904" t="s">
        <v>396</v>
      </c>
      <c r="AE24" s="875" t="s">
        <v>499</v>
      </c>
      <c r="AF24" s="348"/>
      <c r="AG24" s="1008" t="s">
        <v>215</v>
      </c>
      <c r="AH24" s="1009"/>
      <c r="AI24" s="1009"/>
      <c r="AJ24" s="1009"/>
      <c r="AK24" s="1009"/>
      <c r="AL24" s="1009"/>
      <c r="AM24" s="1009"/>
      <c r="AN24" s="1009"/>
      <c r="AO24" s="1009"/>
      <c r="AP24" s="1009"/>
      <c r="AQ24" s="1009"/>
      <c r="AR24" s="1009"/>
      <c r="AS24" s="1009"/>
      <c r="AT24" s="1009"/>
      <c r="AU24" s="1009"/>
      <c r="AV24" s="1009"/>
      <c r="AW24" s="1009"/>
      <c r="AX24" s="1009"/>
      <c r="AY24" s="1009"/>
      <c r="AZ24" s="1010"/>
      <c r="BA24" s="357">
        <f aca="true" t="shared" si="24" ref="BA24:BA30">IF(E24&gt;F24,"ERROR INPUT","")</f>
      </c>
      <c r="BF24">
        <v>4</v>
      </c>
      <c r="BG24" s="358">
        <f t="shared" si="2"/>
        <v>0.5</v>
      </c>
      <c r="BH24">
        <f t="shared" si="3"/>
        <v>2</v>
      </c>
      <c r="BI24" s="358">
        <f t="shared" si="4"/>
        <v>0</v>
      </c>
    </row>
    <row r="25" spans="1:63" ht="69.75" customHeight="1" thickBot="1">
      <c r="A25" s="1113"/>
      <c r="B25" s="1026"/>
      <c r="C25" s="315">
        <f t="shared" si="5"/>
        <v>18</v>
      </c>
      <c r="D25" s="905" t="s">
        <v>45</v>
      </c>
      <c r="E25" s="666">
        <v>21</v>
      </c>
      <c r="F25" s="666">
        <v>5517</v>
      </c>
      <c r="G25" s="782">
        <f t="shared" si="17"/>
        <v>0.0038</v>
      </c>
      <c r="H25" s="779">
        <f t="shared" si="18"/>
        <v>0</v>
      </c>
      <c r="I25" s="780">
        <v>1.5</v>
      </c>
      <c r="J25" s="781">
        <f t="shared" si="12"/>
        <v>0</v>
      </c>
      <c r="K25" s="733">
        <f t="shared" si="19"/>
        <v>0</v>
      </c>
      <c r="L25" s="706">
        <f t="shared" si="20"/>
      </c>
      <c r="M25" s="706">
        <f t="shared" si="21"/>
      </c>
      <c r="N25" s="706">
        <f t="shared" si="22"/>
      </c>
      <c r="O25" s="706">
        <f t="shared" si="23"/>
      </c>
      <c r="P25" s="707">
        <v>0</v>
      </c>
      <c r="Q25" s="707">
        <v>0.999</v>
      </c>
      <c r="R25" s="707">
        <v>1</v>
      </c>
      <c r="S25" s="707">
        <v>2.999</v>
      </c>
      <c r="T25" s="707">
        <v>3</v>
      </c>
      <c r="U25" s="707">
        <v>5.999</v>
      </c>
      <c r="V25" s="707">
        <v>6</v>
      </c>
      <c r="W25" s="707">
        <v>9.999</v>
      </c>
      <c r="X25" s="707">
        <v>10</v>
      </c>
      <c r="Y25" s="708">
        <v>10000</v>
      </c>
      <c r="Z25" s="709">
        <f t="shared" si="1"/>
        <v>1</v>
      </c>
      <c r="AA25" s="451" t="s">
        <v>485</v>
      </c>
      <c r="AB25" s="452" t="s">
        <v>220</v>
      </c>
      <c r="AC25" s="880" t="s">
        <v>387</v>
      </c>
      <c r="AD25" s="904" t="s">
        <v>417</v>
      </c>
      <c r="AE25" s="876" t="s">
        <v>498</v>
      </c>
      <c r="AF25" s="348"/>
      <c r="AG25" s="1083" t="s">
        <v>217</v>
      </c>
      <c r="AH25" s="1084"/>
      <c r="AI25" s="1084"/>
      <c r="AJ25" s="1084"/>
      <c r="AK25" s="1084"/>
      <c r="AL25" s="1084"/>
      <c r="AM25" s="1084"/>
      <c r="AN25" s="1084"/>
      <c r="AO25" s="1084"/>
      <c r="AP25" s="1084"/>
      <c r="AQ25" s="1084"/>
      <c r="AR25" s="1084"/>
      <c r="AS25" s="1084"/>
      <c r="AT25" s="1084"/>
      <c r="AU25" s="1084"/>
      <c r="AV25" s="1084"/>
      <c r="AW25" s="1084"/>
      <c r="AX25" s="1084"/>
      <c r="AY25" s="1084"/>
      <c r="AZ25" s="1085"/>
      <c r="BA25" s="357">
        <f t="shared" si="24"/>
      </c>
      <c r="BF25">
        <v>4</v>
      </c>
      <c r="BG25" s="358">
        <f t="shared" si="2"/>
        <v>1.5</v>
      </c>
      <c r="BH25">
        <f t="shared" si="3"/>
        <v>6</v>
      </c>
      <c r="BI25" s="358">
        <f t="shared" si="4"/>
        <v>0</v>
      </c>
      <c r="BJ25">
        <f>SUM(BH20:BH25)</f>
        <v>22</v>
      </c>
      <c r="BK25">
        <f>SUM(BI20:BI25)</f>
        <v>11.5</v>
      </c>
    </row>
    <row r="26" spans="1:61" ht="66" customHeight="1" thickBot="1">
      <c r="A26" s="1113" t="s">
        <v>6</v>
      </c>
      <c r="B26" s="1114" t="s">
        <v>10</v>
      </c>
      <c r="C26" s="316">
        <f t="shared" si="5"/>
        <v>19</v>
      </c>
      <c r="D26" s="783" t="s">
        <v>46</v>
      </c>
      <c r="E26" s="208">
        <v>86</v>
      </c>
      <c r="F26" s="208">
        <v>82</v>
      </c>
      <c r="G26" s="784">
        <f t="shared" si="17"/>
        <v>1.0488</v>
      </c>
      <c r="H26" s="785">
        <f t="shared" si="18"/>
        <v>4</v>
      </c>
      <c r="I26" s="786">
        <v>1.5</v>
      </c>
      <c r="J26" s="787">
        <f t="shared" si="12"/>
        <v>6</v>
      </c>
      <c r="K26" s="702">
        <f t="shared" si="19"/>
      </c>
      <c r="L26" s="703">
        <f t="shared" si="20"/>
      </c>
      <c r="M26" s="703">
        <f t="shared" si="21"/>
      </c>
      <c r="N26" s="703">
        <f t="shared" si="22"/>
      </c>
      <c r="O26" s="703">
        <f t="shared" si="23"/>
        <v>4</v>
      </c>
      <c r="P26" s="40">
        <v>0</v>
      </c>
      <c r="Q26" s="40">
        <v>19.999</v>
      </c>
      <c r="R26" s="41">
        <v>20</v>
      </c>
      <c r="S26" s="41">
        <v>39.999</v>
      </c>
      <c r="T26" s="41">
        <v>40</v>
      </c>
      <c r="U26" s="41">
        <v>59.999</v>
      </c>
      <c r="V26" s="41">
        <v>60</v>
      </c>
      <c r="W26" s="41">
        <v>79.999</v>
      </c>
      <c r="X26" s="41">
        <v>80</v>
      </c>
      <c r="Y26" s="41">
        <v>10000</v>
      </c>
      <c r="Z26" s="255">
        <f t="shared" si="1"/>
        <v>1</v>
      </c>
      <c r="AA26" s="704" t="s">
        <v>486</v>
      </c>
      <c r="AB26" s="705" t="s">
        <v>220</v>
      </c>
      <c r="AC26" s="881" t="s">
        <v>415</v>
      </c>
      <c r="AD26" s="904" t="s">
        <v>417</v>
      </c>
      <c r="AE26" s="700" t="s">
        <v>498</v>
      </c>
      <c r="AF26" s="361" t="str">
        <f>IF(OR(E26="",F26=""),"",IF(G26&gt;100%,"SURPLUS !",""))</f>
        <v>SURPLUS !</v>
      </c>
      <c r="AG26" s="1028" t="s">
        <v>252</v>
      </c>
      <c r="AH26" s="1029"/>
      <c r="AI26" s="1029"/>
      <c r="AJ26" s="1029"/>
      <c r="AK26" s="1029"/>
      <c r="AL26" s="1029"/>
      <c r="AM26" s="1029"/>
      <c r="AN26" s="1029"/>
      <c r="AO26" s="1029"/>
      <c r="AP26" s="1029"/>
      <c r="AQ26" s="1029"/>
      <c r="AR26" s="1029"/>
      <c r="AS26" s="1029"/>
      <c r="AT26" s="1029"/>
      <c r="AU26" s="1029"/>
      <c r="AV26" s="1029"/>
      <c r="AW26" s="1029"/>
      <c r="AX26" s="1029"/>
      <c r="AY26" s="1029"/>
      <c r="AZ26" s="1030"/>
      <c r="BA26" s="357"/>
      <c r="BF26">
        <v>4</v>
      </c>
      <c r="BG26" s="358">
        <f t="shared" si="2"/>
        <v>1.5</v>
      </c>
      <c r="BH26">
        <f t="shared" si="3"/>
        <v>6</v>
      </c>
      <c r="BI26" s="358">
        <f t="shared" si="4"/>
        <v>6</v>
      </c>
    </row>
    <row r="27" spans="1:61" ht="51.75" customHeight="1" thickBot="1">
      <c r="A27" s="1113"/>
      <c r="B27" s="1114"/>
      <c r="C27" s="316">
        <f t="shared" si="5"/>
        <v>20</v>
      </c>
      <c r="D27" s="783" t="s">
        <v>47</v>
      </c>
      <c r="E27" s="208">
        <v>86</v>
      </c>
      <c r="F27" s="209">
        <f>+F26</f>
        <v>82</v>
      </c>
      <c r="G27" s="784">
        <f t="shared" si="17"/>
        <v>1.0488</v>
      </c>
      <c r="H27" s="785">
        <f t="shared" si="18"/>
        <v>4</v>
      </c>
      <c r="I27" s="786">
        <v>1</v>
      </c>
      <c r="J27" s="787">
        <f t="shared" si="12"/>
        <v>0</v>
      </c>
      <c r="K27" s="38">
        <f t="shared" si="19"/>
      </c>
      <c r="L27" s="39">
        <f t="shared" si="20"/>
      </c>
      <c r="M27" s="39">
        <f t="shared" si="21"/>
      </c>
      <c r="N27" s="39">
        <f t="shared" si="22"/>
      </c>
      <c r="O27" s="39">
        <f t="shared" si="23"/>
        <v>4</v>
      </c>
      <c r="P27" s="40">
        <v>0</v>
      </c>
      <c r="Q27" s="40">
        <v>19.999</v>
      </c>
      <c r="R27" s="41">
        <v>20</v>
      </c>
      <c r="S27" s="41">
        <v>39.999</v>
      </c>
      <c r="T27" s="41">
        <v>40</v>
      </c>
      <c r="U27" s="41">
        <v>59.999</v>
      </c>
      <c r="V27" s="41">
        <v>60</v>
      </c>
      <c r="W27" s="41">
        <v>79.999</v>
      </c>
      <c r="X27" s="41">
        <v>80</v>
      </c>
      <c r="Y27" s="41">
        <v>10000</v>
      </c>
      <c r="Z27" s="255">
        <f t="shared" si="1"/>
        <v>0</v>
      </c>
      <c r="AA27" s="456" t="s">
        <v>486</v>
      </c>
      <c r="AB27" s="457" t="s">
        <v>220</v>
      </c>
      <c r="AC27" s="882" t="s">
        <v>388</v>
      </c>
      <c r="AD27" s="904" t="s">
        <v>417</v>
      </c>
      <c r="AE27" s="875" t="s">
        <v>498</v>
      </c>
      <c r="AF27" s="348"/>
      <c r="AG27" s="1028" t="s">
        <v>252</v>
      </c>
      <c r="AH27" s="1029"/>
      <c r="AI27" s="1029"/>
      <c r="AJ27" s="1029"/>
      <c r="AK27" s="1029"/>
      <c r="AL27" s="1029"/>
      <c r="AM27" s="1029"/>
      <c r="AN27" s="1029"/>
      <c r="AO27" s="1029"/>
      <c r="AP27" s="1029"/>
      <c r="AQ27" s="1029"/>
      <c r="AR27" s="1029"/>
      <c r="AS27" s="1029"/>
      <c r="AT27" s="1029"/>
      <c r="AU27" s="1029"/>
      <c r="AV27" s="1029"/>
      <c r="AW27" s="1029"/>
      <c r="AX27" s="1029"/>
      <c r="AY27" s="1029"/>
      <c r="AZ27" s="1030"/>
      <c r="BA27" s="357" t="str">
        <f t="shared" si="24"/>
        <v>ERROR INPUT</v>
      </c>
      <c r="BF27">
        <v>4</v>
      </c>
      <c r="BG27" s="358">
        <f t="shared" si="2"/>
        <v>1</v>
      </c>
      <c r="BH27">
        <f t="shared" si="3"/>
        <v>4</v>
      </c>
      <c r="BI27" s="358">
        <f t="shared" si="4"/>
        <v>0</v>
      </c>
    </row>
    <row r="28" spans="1:61" ht="50.25" customHeight="1" thickBot="1">
      <c r="A28" s="1113"/>
      <c r="B28" s="1114"/>
      <c r="C28" s="316">
        <f t="shared" si="5"/>
        <v>21</v>
      </c>
      <c r="D28" s="783" t="s">
        <v>48</v>
      </c>
      <c r="E28" s="208">
        <v>60</v>
      </c>
      <c r="F28" s="209">
        <f>+$E$27</f>
        <v>86</v>
      </c>
      <c r="G28" s="784">
        <f t="shared" si="17"/>
        <v>0.6977</v>
      </c>
      <c r="H28" s="785">
        <f t="shared" si="18"/>
        <v>3</v>
      </c>
      <c r="I28" s="786">
        <v>1.5</v>
      </c>
      <c r="J28" s="787">
        <f t="shared" si="12"/>
        <v>4.5</v>
      </c>
      <c r="K28" s="38">
        <f t="shared" si="19"/>
      </c>
      <c r="L28" s="39">
        <f t="shared" si="20"/>
      </c>
      <c r="M28" s="39">
        <f t="shared" si="21"/>
      </c>
      <c r="N28" s="39">
        <f t="shared" si="22"/>
        <v>3</v>
      </c>
      <c r="O28" s="39">
        <f t="shared" si="23"/>
      </c>
      <c r="P28" s="40">
        <v>0</v>
      </c>
      <c r="Q28" s="40">
        <v>20</v>
      </c>
      <c r="R28" s="41">
        <v>20.0001</v>
      </c>
      <c r="S28" s="41">
        <v>40</v>
      </c>
      <c r="T28" s="41">
        <v>40.0001</v>
      </c>
      <c r="U28" s="41">
        <v>60</v>
      </c>
      <c r="V28" s="41">
        <v>60.0001</v>
      </c>
      <c r="W28" s="41">
        <v>80</v>
      </c>
      <c r="X28" s="41">
        <v>80.0001</v>
      </c>
      <c r="Y28" s="41">
        <v>10000</v>
      </c>
      <c r="Z28" s="255">
        <f t="shared" si="1"/>
        <v>1</v>
      </c>
      <c r="AA28" s="456" t="s">
        <v>486</v>
      </c>
      <c r="AB28" s="457" t="s">
        <v>220</v>
      </c>
      <c r="AC28" s="882" t="s">
        <v>389</v>
      </c>
      <c r="AD28" s="904" t="s">
        <v>417</v>
      </c>
      <c r="AE28" s="875" t="s">
        <v>498</v>
      </c>
      <c r="AF28" s="348"/>
      <c r="AG28" s="1005" t="s">
        <v>254</v>
      </c>
      <c r="AH28" s="1006"/>
      <c r="AI28" s="1006"/>
      <c r="AJ28" s="1006"/>
      <c r="AK28" s="1006"/>
      <c r="AL28" s="1006"/>
      <c r="AM28" s="1006"/>
      <c r="AN28" s="1006"/>
      <c r="AO28" s="1006"/>
      <c r="AP28" s="1006"/>
      <c r="AQ28" s="1006"/>
      <c r="AR28" s="1006"/>
      <c r="AS28" s="1006"/>
      <c r="AT28" s="1006"/>
      <c r="AU28" s="1006"/>
      <c r="AV28" s="1006"/>
      <c r="AW28" s="1006"/>
      <c r="AX28" s="1006"/>
      <c r="AY28" s="1006"/>
      <c r="AZ28" s="1086"/>
      <c r="BA28" s="357">
        <f t="shared" si="24"/>
      </c>
      <c r="BF28">
        <v>4</v>
      </c>
      <c r="BG28" s="358">
        <f t="shared" si="2"/>
        <v>1.5</v>
      </c>
      <c r="BH28">
        <f t="shared" si="3"/>
        <v>6</v>
      </c>
      <c r="BI28" s="358">
        <f t="shared" si="4"/>
        <v>4.5</v>
      </c>
    </row>
    <row r="29" spans="1:61" ht="63.75" customHeight="1" thickBot="1">
      <c r="A29" s="1113"/>
      <c r="B29" s="1114"/>
      <c r="C29" s="316">
        <f t="shared" si="5"/>
        <v>22</v>
      </c>
      <c r="D29" s="783" t="s">
        <v>49</v>
      </c>
      <c r="E29" s="208">
        <v>2</v>
      </c>
      <c r="F29" s="209">
        <f>+$E$27</f>
        <v>86</v>
      </c>
      <c r="G29" s="784">
        <f t="shared" si="17"/>
        <v>0.0233</v>
      </c>
      <c r="H29" s="785">
        <f t="shared" si="18"/>
        <v>1</v>
      </c>
      <c r="I29" s="786">
        <v>0.5</v>
      </c>
      <c r="J29" s="787">
        <f t="shared" si="12"/>
        <v>0.5</v>
      </c>
      <c r="K29" s="38">
        <f t="shared" si="19"/>
      </c>
      <c r="L29" s="39">
        <f t="shared" si="20"/>
        <v>1</v>
      </c>
      <c r="M29" s="39">
        <f t="shared" si="21"/>
      </c>
      <c r="N29" s="39">
        <f t="shared" si="22"/>
      </c>
      <c r="O29" s="39">
        <f t="shared" si="23"/>
      </c>
      <c r="P29" s="40">
        <v>0</v>
      </c>
      <c r="Q29" s="40">
        <v>1.999</v>
      </c>
      <c r="R29" s="41">
        <v>2</v>
      </c>
      <c r="S29" s="41">
        <v>3.999</v>
      </c>
      <c r="T29" s="41">
        <v>4</v>
      </c>
      <c r="U29" s="41">
        <v>5.999</v>
      </c>
      <c r="V29" s="41">
        <v>6</v>
      </c>
      <c r="W29" s="41">
        <v>7.999</v>
      </c>
      <c r="X29" s="41">
        <v>8</v>
      </c>
      <c r="Y29" s="41">
        <v>10000</v>
      </c>
      <c r="Z29" s="255">
        <f t="shared" si="1"/>
        <v>1</v>
      </c>
      <c r="AA29" s="456" t="s">
        <v>486</v>
      </c>
      <c r="AB29" s="457" t="s">
        <v>220</v>
      </c>
      <c r="AC29" s="882" t="s">
        <v>390</v>
      </c>
      <c r="AD29" s="904" t="s">
        <v>417</v>
      </c>
      <c r="AE29" s="875" t="s">
        <v>498</v>
      </c>
      <c r="AF29" s="348"/>
      <c r="AG29" s="1005" t="s">
        <v>253</v>
      </c>
      <c r="AH29" s="1006"/>
      <c r="AI29" s="1006"/>
      <c r="AJ29" s="1006"/>
      <c r="AK29" s="1006"/>
      <c r="AL29" s="1006"/>
      <c r="AM29" s="1006"/>
      <c r="AN29" s="1006"/>
      <c r="AO29" s="1006"/>
      <c r="AP29" s="1006"/>
      <c r="AQ29" s="1006"/>
      <c r="AR29" s="1006"/>
      <c r="AS29" s="1006"/>
      <c r="AT29" s="1006"/>
      <c r="AU29" s="1006"/>
      <c r="AV29" s="1006"/>
      <c r="AW29" s="1006"/>
      <c r="AX29" s="1006"/>
      <c r="AY29" s="1006"/>
      <c r="AZ29" s="1086"/>
      <c r="BA29" s="357">
        <f t="shared" si="24"/>
      </c>
      <c r="BF29">
        <v>4</v>
      </c>
      <c r="BG29" s="358">
        <f t="shared" si="2"/>
        <v>0.5</v>
      </c>
      <c r="BH29">
        <f t="shared" si="3"/>
        <v>2</v>
      </c>
      <c r="BI29" s="358">
        <f t="shared" si="4"/>
        <v>0.5</v>
      </c>
    </row>
    <row r="30" spans="1:61" ht="54" customHeight="1" thickBot="1">
      <c r="A30" s="1113"/>
      <c r="B30" s="1114"/>
      <c r="C30" s="316">
        <f t="shared" si="5"/>
        <v>23</v>
      </c>
      <c r="D30" s="783" t="s">
        <v>50</v>
      </c>
      <c r="E30" s="208">
        <v>2</v>
      </c>
      <c r="F30" s="209">
        <f>+$E$27</f>
        <v>86</v>
      </c>
      <c r="G30" s="784">
        <f t="shared" si="17"/>
        <v>0.0233</v>
      </c>
      <c r="H30" s="785">
        <f t="shared" si="18"/>
        <v>1</v>
      </c>
      <c r="I30" s="786">
        <v>0.5</v>
      </c>
      <c r="J30" s="787">
        <f t="shared" si="12"/>
        <v>0.5</v>
      </c>
      <c r="K30" s="38">
        <f t="shared" si="19"/>
      </c>
      <c r="L30" s="39">
        <f t="shared" si="20"/>
        <v>1</v>
      </c>
      <c r="M30" s="39">
        <f t="shared" si="21"/>
      </c>
      <c r="N30" s="39">
        <f t="shared" si="22"/>
      </c>
      <c r="O30" s="39">
        <f t="shared" si="23"/>
      </c>
      <c r="P30" s="40">
        <v>0</v>
      </c>
      <c r="Q30" s="40">
        <v>1.999</v>
      </c>
      <c r="R30" s="41">
        <v>2</v>
      </c>
      <c r="S30" s="41">
        <v>3.999</v>
      </c>
      <c r="T30" s="41">
        <v>4</v>
      </c>
      <c r="U30" s="41">
        <v>5.999</v>
      </c>
      <c r="V30" s="41">
        <v>6</v>
      </c>
      <c r="W30" s="41">
        <v>7.999</v>
      </c>
      <c r="X30" s="41">
        <v>8</v>
      </c>
      <c r="Y30" s="41">
        <v>10000</v>
      </c>
      <c r="Z30" s="255">
        <f t="shared" si="1"/>
        <v>1</v>
      </c>
      <c r="AA30" s="456" t="s">
        <v>486</v>
      </c>
      <c r="AB30" s="457" t="s">
        <v>220</v>
      </c>
      <c r="AC30" s="882" t="s">
        <v>416</v>
      </c>
      <c r="AD30" s="904" t="s">
        <v>417</v>
      </c>
      <c r="AE30" s="875" t="s">
        <v>498</v>
      </c>
      <c r="AF30" s="348"/>
      <c r="AG30" s="1008" t="s">
        <v>218</v>
      </c>
      <c r="AH30" s="1009"/>
      <c r="AI30" s="1009"/>
      <c r="AJ30" s="1009"/>
      <c r="AK30" s="1009"/>
      <c r="AL30" s="1009"/>
      <c r="AM30" s="1009"/>
      <c r="AN30" s="1009"/>
      <c r="AO30" s="1009"/>
      <c r="AP30" s="1009"/>
      <c r="AQ30" s="1009"/>
      <c r="AR30" s="1009"/>
      <c r="AS30" s="1009"/>
      <c r="AT30" s="1009"/>
      <c r="AU30" s="1009"/>
      <c r="AV30" s="1009"/>
      <c r="AW30" s="1009"/>
      <c r="AX30" s="1009"/>
      <c r="AY30" s="1009"/>
      <c r="AZ30" s="1010"/>
      <c r="BA30" s="357">
        <f t="shared" si="24"/>
      </c>
      <c r="BF30">
        <v>4</v>
      </c>
      <c r="BG30" s="358">
        <f t="shared" si="2"/>
        <v>0.5</v>
      </c>
      <c r="BH30">
        <f t="shared" si="3"/>
        <v>2</v>
      </c>
      <c r="BI30" s="358">
        <f t="shared" si="4"/>
        <v>0.5</v>
      </c>
    </row>
    <row r="31" spans="1:61" ht="37.5" customHeight="1" thickBot="1">
      <c r="A31" s="1113"/>
      <c r="B31" s="1114"/>
      <c r="C31" s="316">
        <f t="shared" si="5"/>
        <v>24</v>
      </c>
      <c r="D31" s="783" t="s">
        <v>51</v>
      </c>
      <c r="E31" s="209">
        <f>+$E$7</f>
        <v>5517</v>
      </c>
      <c r="F31" s="209">
        <f>+F27</f>
        <v>82</v>
      </c>
      <c r="G31" s="788">
        <f t="shared" si="17"/>
        <v>67.2805</v>
      </c>
      <c r="H31" s="785">
        <f t="shared" si="18"/>
        <v>2</v>
      </c>
      <c r="I31" s="786">
        <v>1</v>
      </c>
      <c r="J31" s="787">
        <f t="shared" si="12"/>
        <v>2</v>
      </c>
      <c r="K31" s="38">
        <f>IF($G31&gt;$R31,$K$5,"")</f>
      </c>
      <c r="L31" s="39">
        <f>IF(AND($G31&gt;$T31,$G31&lt;$Q31),$L$5,"")</f>
      </c>
      <c r="M31" s="39">
        <f>IF(AND($G31&gt;$V31,$G31&lt;$S31),$M$5,"")</f>
        <v>2</v>
      </c>
      <c r="N31" s="39">
        <f>IF(AND($G31&gt;$X31,$G31&lt;$U31),$N$5,"")</f>
      </c>
      <c r="O31" s="39">
        <f>IF(AND($G31&gt;Y31,G31&lt;W31),$O$5,"")</f>
      </c>
      <c r="P31" s="7">
        <v>1000</v>
      </c>
      <c r="Q31" s="7">
        <v>100.0001</v>
      </c>
      <c r="R31" s="7">
        <v>100</v>
      </c>
      <c r="S31" s="7">
        <v>80.0001</v>
      </c>
      <c r="T31" s="7">
        <v>80</v>
      </c>
      <c r="U31" s="7">
        <v>60.0001</v>
      </c>
      <c r="V31" s="7">
        <v>60</v>
      </c>
      <c r="W31" s="7">
        <v>40.0001</v>
      </c>
      <c r="X31" s="7">
        <v>40</v>
      </c>
      <c r="Y31" s="7">
        <v>0.0001</v>
      </c>
      <c r="Z31" s="255">
        <f t="shared" si="1"/>
        <v>1</v>
      </c>
      <c r="AA31" s="456" t="s">
        <v>486</v>
      </c>
      <c r="AB31" s="457" t="s">
        <v>220</v>
      </c>
      <c r="AC31" s="882" t="s">
        <v>391</v>
      </c>
      <c r="AD31" s="904" t="s">
        <v>417</v>
      </c>
      <c r="AE31" s="875" t="s">
        <v>498</v>
      </c>
      <c r="AF31" s="348"/>
      <c r="AG31" s="1005" t="s">
        <v>255</v>
      </c>
      <c r="AH31" s="1006"/>
      <c r="AI31" s="1006"/>
      <c r="AJ31" s="1006"/>
      <c r="AK31" s="1006"/>
      <c r="AL31" s="1006"/>
      <c r="AM31" s="1006"/>
      <c r="AN31" s="1006"/>
      <c r="AO31" s="1006"/>
      <c r="AP31" s="1006"/>
      <c r="AQ31" s="1006"/>
      <c r="AR31" s="1006"/>
      <c r="AS31" s="1006"/>
      <c r="AT31" s="1006"/>
      <c r="AU31" s="1006"/>
      <c r="AV31" s="1006"/>
      <c r="AW31" s="1006"/>
      <c r="AX31" s="1006"/>
      <c r="AY31" s="1006"/>
      <c r="AZ31" s="1007"/>
      <c r="BA31" s="356"/>
      <c r="BF31">
        <v>4</v>
      </c>
      <c r="BG31" s="358">
        <f t="shared" si="2"/>
        <v>1</v>
      </c>
      <c r="BH31">
        <f t="shared" si="3"/>
        <v>4</v>
      </c>
      <c r="BI31" s="358">
        <f t="shared" si="4"/>
        <v>2</v>
      </c>
    </row>
    <row r="32" spans="1:61" ht="37.5" customHeight="1" thickBot="1">
      <c r="A32" s="1113"/>
      <c r="B32" s="1114"/>
      <c r="C32" s="316">
        <f t="shared" si="5"/>
        <v>25</v>
      </c>
      <c r="D32" s="783" t="s">
        <v>52</v>
      </c>
      <c r="E32" s="209">
        <f>+$E$7</f>
        <v>5517</v>
      </c>
      <c r="F32" s="209">
        <f>+$E$26</f>
        <v>86</v>
      </c>
      <c r="G32" s="788">
        <f t="shared" si="17"/>
        <v>64.1512</v>
      </c>
      <c r="H32" s="785">
        <f t="shared" si="18"/>
        <v>2</v>
      </c>
      <c r="I32" s="786">
        <v>1</v>
      </c>
      <c r="J32" s="787">
        <f t="shared" si="12"/>
        <v>2</v>
      </c>
      <c r="K32" s="38">
        <f>IF($G32&gt;$R32,$K$5,"")</f>
      </c>
      <c r="L32" s="39">
        <f>IF(AND($G32&gt;$T32,$G32&lt;$Q32),$L$5,"")</f>
      </c>
      <c r="M32" s="39">
        <f>IF(AND($G32&gt;$V32,$G32&lt;$S32),$M$5,"")</f>
        <v>2</v>
      </c>
      <c r="N32" s="39">
        <f>IF(AND($G32&gt;$X32,$G32&lt;$U32),$N$5,"")</f>
      </c>
      <c r="O32" s="39">
        <f>IF(AND($G32&gt;Y32,G32&lt;W32),$O$5,"")</f>
      </c>
      <c r="P32" s="7">
        <v>1000</v>
      </c>
      <c r="Q32" s="7">
        <v>100.0001</v>
      </c>
      <c r="R32" s="7">
        <v>100</v>
      </c>
      <c r="S32" s="7">
        <v>80.0001</v>
      </c>
      <c r="T32" s="7">
        <v>80</v>
      </c>
      <c r="U32" s="7">
        <v>60.0001</v>
      </c>
      <c r="V32" s="7">
        <v>60</v>
      </c>
      <c r="W32" s="7">
        <v>40.0001</v>
      </c>
      <c r="X32" s="7">
        <v>40</v>
      </c>
      <c r="Y32" s="7">
        <v>0.0001</v>
      </c>
      <c r="Z32" s="255">
        <f t="shared" si="1"/>
        <v>1</v>
      </c>
      <c r="AA32" s="456" t="s">
        <v>486</v>
      </c>
      <c r="AB32" s="457" t="s">
        <v>220</v>
      </c>
      <c r="AC32" s="882" t="s">
        <v>392</v>
      </c>
      <c r="AD32" s="904" t="s">
        <v>417</v>
      </c>
      <c r="AE32" s="875" t="s">
        <v>498</v>
      </c>
      <c r="AF32" s="348"/>
      <c r="AG32" s="1005" t="s">
        <v>255</v>
      </c>
      <c r="AH32" s="1006"/>
      <c r="AI32" s="1006"/>
      <c r="AJ32" s="1006"/>
      <c r="AK32" s="1006"/>
      <c r="AL32" s="1006"/>
      <c r="AM32" s="1006"/>
      <c r="AN32" s="1006"/>
      <c r="AO32" s="1006"/>
      <c r="AP32" s="1006"/>
      <c r="AQ32" s="1006"/>
      <c r="AR32" s="1006"/>
      <c r="AS32" s="1006"/>
      <c r="AT32" s="1006"/>
      <c r="AU32" s="1006"/>
      <c r="AV32" s="1006"/>
      <c r="AW32" s="1006"/>
      <c r="AX32" s="1006"/>
      <c r="AY32" s="1006"/>
      <c r="AZ32" s="1007"/>
      <c r="BA32" s="356"/>
      <c r="BF32">
        <v>4</v>
      </c>
      <c r="BG32" s="358">
        <f t="shared" si="2"/>
        <v>1</v>
      </c>
      <c r="BH32">
        <f t="shared" si="3"/>
        <v>4</v>
      </c>
      <c r="BI32" s="358">
        <f t="shared" si="4"/>
        <v>2</v>
      </c>
    </row>
    <row r="33" spans="1:61" ht="54.75" customHeight="1" thickBot="1">
      <c r="A33" s="1113"/>
      <c r="B33" s="1114"/>
      <c r="C33" s="316">
        <f t="shared" si="5"/>
        <v>26</v>
      </c>
      <c r="D33" s="783" t="s">
        <v>53</v>
      </c>
      <c r="E33" s="208">
        <v>100</v>
      </c>
      <c r="F33" s="208">
        <v>100</v>
      </c>
      <c r="G33" s="784">
        <f t="shared" si="17"/>
        <v>1</v>
      </c>
      <c r="H33" s="785">
        <f t="shared" si="18"/>
        <v>4</v>
      </c>
      <c r="I33" s="786">
        <v>1</v>
      </c>
      <c r="J33" s="787">
        <f t="shared" si="12"/>
        <v>4</v>
      </c>
      <c r="K33" s="38">
        <f aca="true" t="shared" si="25" ref="K33:K43">IF($G33&lt;$R33%,$K$5,"")</f>
      </c>
      <c r="L33" s="39">
        <f aca="true" t="shared" si="26" ref="L33:L43">IF(AND($G33&lt;$T33%,$G33&gt;$Q33%),$L$5,"")</f>
      </c>
      <c r="M33" s="39">
        <f aca="true" t="shared" si="27" ref="M33:M43">IF(AND($G33&lt;$V33%,$G33&gt;$S33%),$M$5,"")</f>
      </c>
      <c r="N33" s="39">
        <f aca="true" t="shared" si="28" ref="N33:N43">IF(AND($G33&lt;$X33%,$G33&gt;$U33%),$N$5,"")</f>
      </c>
      <c r="O33" s="39">
        <f aca="true" t="shared" si="29" ref="O33:O43">IF(AND($G33&lt;Y33%,G33&gt;W33%),$O$5,"")</f>
        <v>4</v>
      </c>
      <c r="P33" s="40">
        <v>0</v>
      </c>
      <c r="Q33" s="40">
        <v>19.999</v>
      </c>
      <c r="R33" s="41">
        <v>20</v>
      </c>
      <c r="S33" s="41">
        <v>39.999</v>
      </c>
      <c r="T33" s="41">
        <v>40</v>
      </c>
      <c r="U33" s="41">
        <v>59.999</v>
      </c>
      <c r="V33" s="41">
        <v>60</v>
      </c>
      <c r="W33" s="41">
        <v>79.999</v>
      </c>
      <c r="X33" s="41">
        <v>80</v>
      </c>
      <c r="Y33" s="41">
        <v>10000</v>
      </c>
      <c r="Z33" s="255">
        <f t="shared" si="1"/>
        <v>1</v>
      </c>
      <c r="AA33" s="456" t="s">
        <v>486</v>
      </c>
      <c r="AB33" s="457" t="s">
        <v>220</v>
      </c>
      <c r="AC33" s="882" t="s">
        <v>393</v>
      </c>
      <c r="AD33" s="904" t="s">
        <v>417</v>
      </c>
      <c r="AE33" s="875" t="s">
        <v>498</v>
      </c>
      <c r="AF33" s="348"/>
      <c r="AG33" s="1005" t="s">
        <v>256</v>
      </c>
      <c r="AH33" s="1006"/>
      <c r="AI33" s="1006"/>
      <c r="AJ33" s="1006"/>
      <c r="AK33" s="1006"/>
      <c r="AL33" s="1006"/>
      <c r="AM33" s="1006"/>
      <c r="AN33" s="1006"/>
      <c r="AO33" s="1006"/>
      <c r="AP33" s="1006"/>
      <c r="AQ33" s="1006"/>
      <c r="AR33" s="1006"/>
      <c r="AS33" s="1006"/>
      <c r="AT33" s="1006"/>
      <c r="AU33" s="1006"/>
      <c r="AV33" s="1006"/>
      <c r="AW33" s="1006"/>
      <c r="AX33" s="1006"/>
      <c r="AY33" s="1006"/>
      <c r="AZ33" s="1007"/>
      <c r="BA33" s="356"/>
      <c r="BF33">
        <v>4</v>
      </c>
      <c r="BG33" s="358">
        <f t="shared" si="2"/>
        <v>1</v>
      </c>
      <c r="BH33">
        <f t="shared" si="3"/>
        <v>4</v>
      </c>
      <c r="BI33" s="358">
        <f t="shared" si="4"/>
        <v>4</v>
      </c>
    </row>
    <row r="34" spans="1:63" ht="86.25" customHeight="1" thickBot="1">
      <c r="A34" s="1115" t="s">
        <v>6</v>
      </c>
      <c r="B34" s="674" t="s">
        <v>10</v>
      </c>
      <c r="C34" s="316">
        <f t="shared" si="5"/>
        <v>27</v>
      </c>
      <c r="D34" s="783" t="s">
        <v>54</v>
      </c>
      <c r="E34" s="208">
        <v>86</v>
      </c>
      <c r="F34" s="209">
        <f>+$E$27</f>
        <v>86</v>
      </c>
      <c r="G34" s="784">
        <f t="shared" si="17"/>
        <v>1</v>
      </c>
      <c r="H34" s="785">
        <f t="shared" si="18"/>
        <v>4</v>
      </c>
      <c r="I34" s="786">
        <v>1</v>
      </c>
      <c r="J34" s="787">
        <f t="shared" si="12"/>
        <v>4</v>
      </c>
      <c r="K34" s="38">
        <f t="shared" si="25"/>
      </c>
      <c r="L34" s="39">
        <f t="shared" si="26"/>
      </c>
      <c r="M34" s="39">
        <f t="shared" si="27"/>
      </c>
      <c r="N34" s="39">
        <f t="shared" si="28"/>
      </c>
      <c r="O34" s="39">
        <f t="shared" si="29"/>
        <v>4</v>
      </c>
      <c r="P34" s="40">
        <v>0</v>
      </c>
      <c r="Q34" s="40">
        <v>0</v>
      </c>
      <c r="R34" s="41">
        <v>0.0001</v>
      </c>
      <c r="S34" s="41">
        <v>9.9999</v>
      </c>
      <c r="T34" s="41">
        <v>10</v>
      </c>
      <c r="U34" s="41">
        <v>19.9999</v>
      </c>
      <c r="V34" s="41">
        <v>20</v>
      </c>
      <c r="W34" s="41">
        <v>29.9999</v>
      </c>
      <c r="X34" s="41">
        <v>30</v>
      </c>
      <c r="Y34" s="41">
        <v>10000</v>
      </c>
      <c r="Z34" s="255">
        <f t="shared" si="1"/>
        <v>1</v>
      </c>
      <c r="AA34" s="458" t="s">
        <v>486</v>
      </c>
      <c r="AB34" s="459" t="s">
        <v>220</v>
      </c>
      <c r="AC34" s="883" t="s">
        <v>462</v>
      </c>
      <c r="AD34" s="904" t="s">
        <v>417</v>
      </c>
      <c r="AE34" s="875" t="s">
        <v>498</v>
      </c>
      <c r="AF34" s="348"/>
      <c r="AG34" s="1008" t="s">
        <v>257</v>
      </c>
      <c r="AH34" s="1009"/>
      <c r="AI34" s="1009"/>
      <c r="AJ34" s="1009"/>
      <c r="AK34" s="1009"/>
      <c r="AL34" s="1009"/>
      <c r="AM34" s="1009"/>
      <c r="AN34" s="1009"/>
      <c r="AO34" s="1009"/>
      <c r="AP34" s="1009"/>
      <c r="AQ34" s="1009"/>
      <c r="AR34" s="1009"/>
      <c r="AS34" s="1009"/>
      <c r="AT34" s="1009"/>
      <c r="AU34" s="1009"/>
      <c r="AV34" s="1009"/>
      <c r="AW34" s="1009"/>
      <c r="AX34" s="1009"/>
      <c r="AY34" s="1009"/>
      <c r="AZ34" s="1010"/>
      <c r="BA34" s="357">
        <f aca="true" t="shared" si="30" ref="BA34:BA43">IF(E34&gt;F34,"ERROR INPUT","")</f>
      </c>
      <c r="BF34">
        <v>4</v>
      </c>
      <c r="BG34" s="358">
        <f t="shared" si="2"/>
        <v>1</v>
      </c>
      <c r="BH34">
        <f t="shared" si="3"/>
        <v>4</v>
      </c>
      <c r="BI34" s="358">
        <f t="shared" si="4"/>
        <v>4</v>
      </c>
      <c r="BJ34" s="358">
        <f>SUM(BH26:BH34)</f>
        <v>36</v>
      </c>
      <c r="BK34" s="358">
        <f>SUM(BI26:BI34)</f>
        <v>23.5</v>
      </c>
    </row>
    <row r="35" spans="1:61" ht="37.5" customHeight="1" thickBot="1">
      <c r="A35" s="1116"/>
      <c r="B35" s="1034" t="s">
        <v>11</v>
      </c>
      <c r="C35" s="317">
        <f t="shared" si="5"/>
        <v>28</v>
      </c>
      <c r="D35" s="789" t="s">
        <v>55</v>
      </c>
      <c r="E35" s="210">
        <v>4027</v>
      </c>
      <c r="F35" s="210">
        <v>5097</v>
      </c>
      <c r="G35" s="790">
        <f t="shared" si="17"/>
        <v>0.7901</v>
      </c>
      <c r="H35" s="791">
        <f t="shared" si="18"/>
        <v>3</v>
      </c>
      <c r="I35" s="792">
        <v>3</v>
      </c>
      <c r="J35" s="793">
        <f t="shared" si="12"/>
        <v>9</v>
      </c>
      <c r="K35" s="34">
        <f t="shared" si="25"/>
      </c>
      <c r="L35" s="35">
        <f t="shared" si="26"/>
      </c>
      <c r="M35" s="35">
        <f t="shared" si="27"/>
      </c>
      <c r="N35" s="35">
        <f t="shared" si="28"/>
        <v>3</v>
      </c>
      <c r="O35" s="35">
        <f t="shared" si="29"/>
      </c>
      <c r="P35" s="36">
        <v>0</v>
      </c>
      <c r="Q35" s="36">
        <v>20</v>
      </c>
      <c r="R35" s="37">
        <v>20.0001</v>
      </c>
      <c r="S35" s="37">
        <v>40</v>
      </c>
      <c r="T35" s="37">
        <v>40.0001</v>
      </c>
      <c r="U35" s="37">
        <v>60</v>
      </c>
      <c r="V35" s="37">
        <v>60.0001</v>
      </c>
      <c r="W35" s="37">
        <v>80</v>
      </c>
      <c r="X35" s="37">
        <v>80.0001</v>
      </c>
      <c r="Y35" s="37">
        <v>10000</v>
      </c>
      <c r="Z35" s="255">
        <f t="shared" si="1"/>
        <v>1</v>
      </c>
      <c r="AA35" s="461" t="s">
        <v>487</v>
      </c>
      <c r="AB35" s="462" t="s">
        <v>220</v>
      </c>
      <c r="AC35" s="884" t="s">
        <v>394</v>
      </c>
      <c r="AD35" s="904" t="s">
        <v>417</v>
      </c>
      <c r="AE35" s="875" t="s">
        <v>498</v>
      </c>
      <c r="AF35" s="348"/>
      <c r="AG35" s="1061" t="s">
        <v>375</v>
      </c>
      <c r="AH35" s="1062"/>
      <c r="AI35" s="1062"/>
      <c r="AJ35" s="1062"/>
      <c r="AK35" s="1062"/>
      <c r="AL35" s="1062"/>
      <c r="AM35" s="1062"/>
      <c r="AN35" s="1062"/>
      <c r="AO35" s="1062"/>
      <c r="AP35" s="1062"/>
      <c r="AQ35" s="1062"/>
      <c r="AR35" s="1062"/>
      <c r="AS35" s="1062"/>
      <c r="AT35" s="1062"/>
      <c r="AU35" s="1062"/>
      <c r="AV35" s="1062"/>
      <c r="AW35" s="1062"/>
      <c r="AX35" s="1062"/>
      <c r="AY35" s="1062"/>
      <c r="AZ35" s="1063"/>
      <c r="BA35" s="357">
        <f t="shared" si="30"/>
      </c>
      <c r="BF35">
        <v>4</v>
      </c>
      <c r="BG35" s="358">
        <f t="shared" si="2"/>
        <v>3</v>
      </c>
      <c r="BH35">
        <f t="shared" si="3"/>
        <v>12</v>
      </c>
      <c r="BI35" s="358">
        <f t="shared" si="4"/>
        <v>9</v>
      </c>
    </row>
    <row r="36" spans="1:61" ht="51" customHeight="1" thickBot="1">
      <c r="A36" s="1116"/>
      <c r="B36" s="1034"/>
      <c r="C36" s="317">
        <f t="shared" si="5"/>
        <v>29</v>
      </c>
      <c r="D36" s="789" t="s">
        <v>56</v>
      </c>
      <c r="E36" s="210">
        <v>630</v>
      </c>
      <c r="F36" s="210">
        <v>5097</v>
      </c>
      <c r="G36" s="790">
        <f t="shared" si="17"/>
        <v>0.1236</v>
      </c>
      <c r="H36" s="791">
        <f t="shared" si="18"/>
        <v>1</v>
      </c>
      <c r="I36" s="792">
        <v>2</v>
      </c>
      <c r="J36" s="793">
        <f t="shared" si="12"/>
        <v>2</v>
      </c>
      <c r="K36" s="34">
        <f t="shared" si="25"/>
      </c>
      <c r="L36" s="35">
        <f t="shared" si="26"/>
        <v>1</v>
      </c>
      <c r="M36" s="35">
        <f t="shared" si="27"/>
      </c>
      <c r="N36" s="35">
        <f t="shared" si="28"/>
      </c>
      <c r="O36" s="35">
        <f t="shared" si="29"/>
      </c>
      <c r="P36" s="36">
        <v>0</v>
      </c>
      <c r="Q36" s="36">
        <v>9.999</v>
      </c>
      <c r="R36" s="37">
        <v>10</v>
      </c>
      <c r="S36" s="37">
        <v>19.999</v>
      </c>
      <c r="T36" s="37">
        <v>20</v>
      </c>
      <c r="U36" s="37">
        <v>29.999</v>
      </c>
      <c r="V36" s="37">
        <v>30</v>
      </c>
      <c r="W36" s="37">
        <v>39.999</v>
      </c>
      <c r="X36" s="37">
        <v>40</v>
      </c>
      <c r="Y36" s="37">
        <v>10000</v>
      </c>
      <c r="Z36" s="255">
        <f t="shared" si="1"/>
        <v>1</v>
      </c>
      <c r="AA36" s="461" t="s">
        <v>487</v>
      </c>
      <c r="AB36" s="462" t="s">
        <v>220</v>
      </c>
      <c r="AC36" s="884" t="s">
        <v>395</v>
      </c>
      <c r="AD36" s="904" t="str">
        <f>IF(+$AD$35&lt;&gt;"",+$AD$35,"")</f>
        <v>YES</v>
      </c>
      <c r="AE36" s="875" t="s">
        <v>498</v>
      </c>
      <c r="AF36" s="348"/>
      <c r="AG36" s="1008" t="s">
        <v>258</v>
      </c>
      <c r="AH36" s="1009"/>
      <c r="AI36" s="1009"/>
      <c r="AJ36" s="1009"/>
      <c r="AK36" s="1009"/>
      <c r="AL36" s="1009"/>
      <c r="AM36" s="1009"/>
      <c r="AN36" s="1009"/>
      <c r="AO36" s="1009"/>
      <c r="AP36" s="1009"/>
      <c r="AQ36" s="1009"/>
      <c r="AR36" s="1009"/>
      <c r="AS36" s="1009"/>
      <c r="AT36" s="1009"/>
      <c r="AU36" s="1009"/>
      <c r="AV36" s="1009"/>
      <c r="AW36" s="1009"/>
      <c r="AX36" s="1009"/>
      <c r="AY36" s="1009"/>
      <c r="AZ36" s="1010"/>
      <c r="BA36" s="357">
        <f t="shared" si="30"/>
      </c>
      <c r="BF36">
        <v>4</v>
      </c>
      <c r="BG36" s="358">
        <f t="shared" si="2"/>
        <v>2</v>
      </c>
      <c r="BH36">
        <f t="shared" si="3"/>
        <v>8</v>
      </c>
      <c r="BI36" s="358">
        <f t="shared" si="4"/>
        <v>2</v>
      </c>
    </row>
    <row r="37" spans="1:63" ht="51" customHeight="1" thickBot="1">
      <c r="A37" s="1117"/>
      <c r="B37" s="1034"/>
      <c r="C37" s="317">
        <f t="shared" si="5"/>
        <v>30</v>
      </c>
      <c r="D37" s="789" t="s">
        <v>57</v>
      </c>
      <c r="E37" s="210">
        <v>25</v>
      </c>
      <c r="F37" s="210">
        <v>5097</v>
      </c>
      <c r="G37" s="790">
        <f t="shared" si="17"/>
        <v>0.0049</v>
      </c>
      <c r="H37" s="791">
        <f t="shared" si="18"/>
        <v>1</v>
      </c>
      <c r="I37" s="792">
        <v>1</v>
      </c>
      <c r="J37" s="793">
        <f t="shared" si="12"/>
        <v>1</v>
      </c>
      <c r="K37" s="34">
        <f t="shared" si="25"/>
      </c>
      <c r="L37" s="35">
        <f t="shared" si="26"/>
        <v>1</v>
      </c>
      <c r="M37" s="35">
        <f t="shared" si="27"/>
      </c>
      <c r="N37" s="35">
        <f t="shared" si="28"/>
      </c>
      <c r="O37" s="35">
        <f t="shared" si="29"/>
      </c>
      <c r="P37" s="36">
        <v>0</v>
      </c>
      <c r="Q37" s="36">
        <v>5E-05</v>
      </c>
      <c r="R37" s="37">
        <v>0.0001</v>
      </c>
      <c r="S37" s="37">
        <v>4.999</v>
      </c>
      <c r="T37" s="37">
        <v>5</v>
      </c>
      <c r="U37" s="37">
        <v>9.999</v>
      </c>
      <c r="V37" s="37">
        <v>10</v>
      </c>
      <c r="W37" s="37">
        <v>14.9999</v>
      </c>
      <c r="X37" s="37">
        <v>15</v>
      </c>
      <c r="Y37" s="37">
        <v>10000</v>
      </c>
      <c r="Z37" s="255">
        <f t="shared" si="1"/>
        <v>1</v>
      </c>
      <c r="AA37" s="461" t="s">
        <v>487</v>
      </c>
      <c r="AB37" s="462" t="s">
        <v>220</v>
      </c>
      <c r="AC37" s="884" t="s">
        <v>395</v>
      </c>
      <c r="AD37" s="904" t="str">
        <f>IF(+$AD$35&lt;&gt;"",+$AD$35,"")</f>
        <v>YES</v>
      </c>
      <c r="AE37" s="875" t="s">
        <v>498</v>
      </c>
      <c r="AF37" s="348"/>
      <c r="AG37" s="1008" t="s">
        <v>258</v>
      </c>
      <c r="AH37" s="1009"/>
      <c r="AI37" s="1009"/>
      <c r="AJ37" s="1009"/>
      <c r="AK37" s="1009"/>
      <c r="AL37" s="1009"/>
      <c r="AM37" s="1009"/>
      <c r="AN37" s="1009"/>
      <c r="AO37" s="1009"/>
      <c r="AP37" s="1009"/>
      <c r="AQ37" s="1009"/>
      <c r="AR37" s="1009"/>
      <c r="AS37" s="1009"/>
      <c r="AT37" s="1009"/>
      <c r="AU37" s="1009"/>
      <c r="AV37" s="1009"/>
      <c r="AW37" s="1009"/>
      <c r="AX37" s="1009"/>
      <c r="AY37" s="1009"/>
      <c r="AZ37" s="1010"/>
      <c r="BA37" s="357">
        <f t="shared" si="30"/>
      </c>
      <c r="BF37">
        <v>4</v>
      </c>
      <c r="BG37" s="358">
        <f t="shared" si="2"/>
        <v>1</v>
      </c>
      <c r="BH37">
        <f t="shared" si="3"/>
        <v>4</v>
      </c>
      <c r="BI37" s="358">
        <f t="shared" si="4"/>
        <v>1</v>
      </c>
      <c r="BJ37" s="358">
        <f>SUM(BH35:BH37)</f>
        <v>24</v>
      </c>
      <c r="BK37" s="358">
        <f>SUM(BI35:BI37)</f>
        <v>12</v>
      </c>
    </row>
    <row r="38" spans="1:61" ht="66.75" customHeight="1" thickBot="1">
      <c r="A38" s="1108" t="s">
        <v>12</v>
      </c>
      <c r="B38" s="1033" t="s">
        <v>13</v>
      </c>
      <c r="C38" s="318">
        <f t="shared" si="5"/>
        <v>31</v>
      </c>
      <c r="D38" s="794" t="s">
        <v>58</v>
      </c>
      <c r="E38" s="670">
        <v>1</v>
      </c>
      <c r="F38" s="362">
        <f aca="true" t="shared" si="31" ref="F38:F43">+$E$27</f>
        <v>86</v>
      </c>
      <c r="G38" s="795">
        <f t="shared" si="17"/>
        <v>0.0116</v>
      </c>
      <c r="H38" s="796">
        <f t="shared" si="18"/>
        <v>1</v>
      </c>
      <c r="I38" s="797">
        <v>1</v>
      </c>
      <c r="J38" s="798">
        <f t="shared" si="12"/>
        <v>1</v>
      </c>
      <c r="K38" s="44">
        <f t="shared" si="25"/>
      </c>
      <c r="L38" s="45">
        <f t="shared" si="26"/>
        <v>1</v>
      </c>
      <c r="M38" s="45">
        <f t="shared" si="27"/>
      </c>
      <c r="N38" s="45">
        <f t="shared" si="28"/>
      </c>
      <c r="O38" s="45">
        <f t="shared" si="29"/>
      </c>
      <c r="P38" s="46">
        <v>0</v>
      </c>
      <c r="Q38" s="46">
        <v>0</v>
      </c>
      <c r="R38" s="47">
        <v>1E-05</v>
      </c>
      <c r="S38" s="47">
        <v>1.9999</v>
      </c>
      <c r="T38" s="47">
        <v>2</v>
      </c>
      <c r="U38" s="47">
        <v>2.9999</v>
      </c>
      <c r="V38" s="47">
        <v>3</v>
      </c>
      <c r="W38" s="47">
        <v>3.9999</v>
      </c>
      <c r="X38" s="47">
        <v>4</v>
      </c>
      <c r="Y38" s="81">
        <v>10000</v>
      </c>
      <c r="Z38" s="255">
        <f t="shared" si="1"/>
        <v>1</v>
      </c>
      <c r="AA38" s="463" t="s">
        <v>404</v>
      </c>
      <c r="AB38" s="464" t="s">
        <v>220</v>
      </c>
      <c r="AC38" s="885" t="s">
        <v>403</v>
      </c>
      <c r="AD38" s="904" t="s">
        <v>417</v>
      </c>
      <c r="AE38" s="875" t="s">
        <v>498</v>
      </c>
      <c r="AF38" s="348"/>
      <c r="AG38" s="1008" t="s">
        <v>259</v>
      </c>
      <c r="AH38" s="1009"/>
      <c r="AI38" s="1009"/>
      <c r="AJ38" s="1009"/>
      <c r="AK38" s="1009"/>
      <c r="AL38" s="1009"/>
      <c r="AM38" s="1009"/>
      <c r="AN38" s="1009"/>
      <c r="AO38" s="1009"/>
      <c r="AP38" s="1009"/>
      <c r="AQ38" s="1009"/>
      <c r="AR38" s="1009"/>
      <c r="AS38" s="1009"/>
      <c r="AT38" s="1009"/>
      <c r="AU38" s="1009"/>
      <c r="AV38" s="1009"/>
      <c r="AW38" s="1009"/>
      <c r="AX38" s="1009"/>
      <c r="AY38" s="1009"/>
      <c r="AZ38" s="1010"/>
      <c r="BA38" s="357">
        <f t="shared" si="30"/>
      </c>
      <c r="BF38">
        <v>4</v>
      </c>
      <c r="BG38" s="358">
        <f t="shared" si="2"/>
        <v>1</v>
      </c>
      <c r="BH38">
        <f t="shared" si="3"/>
        <v>4</v>
      </c>
      <c r="BI38" s="358">
        <f t="shared" si="4"/>
        <v>1</v>
      </c>
    </row>
    <row r="39" spans="1:61" ht="51.75" customHeight="1" thickBot="1">
      <c r="A39" s="1108"/>
      <c r="B39" s="1033"/>
      <c r="C39" s="318">
        <f t="shared" si="5"/>
        <v>32</v>
      </c>
      <c r="D39" s="794" t="s">
        <v>59</v>
      </c>
      <c r="E39" s="670">
        <v>7</v>
      </c>
      <c r="F39" s="212">
        <f t="shared" si="31"/>
        <v>86</v>
      </c>
      <c r="G39" s="795">
        <f t="shared" si="17"/>
        <v>0.0814</v>
      </c>
      <c r="H39" s="796">
        <f t="shared" si="18"/>
        <v>4</v>
      </c>
      <c r="I39" s="797">
        <v>1</v>
      </c>
      <c r="J39" s="798">
        <f t="shared" si="12"/>
        <v>4</v>
      </c>
      <c r="K39" s="44">
        <f t="shared" si="25"/>
      </c>
      <c r="L39" s="45">
        <f t="shared" si="26"/>
      </c>
      <c r="M39" s="45">
        <f t="shared" si="27"/>
      </c>
      <c r="N39" s="45">
        <f t="shared" si="28"/>
      </c>
      <c r="O39" s="45">
        <f t="shared" si="29"/>
        <v>4</v>
      </c>
      <c r="P39" s="46">
        <v>0</v>
      </c>
      <c r="Q39" s="46">
        <v>0</v>
      </c>
      <c r="R39" s="47">
        <v>1E-05</v>
      </c>
      <c r="S39" s="47">
        <v>1.9999</v>
      </c>
      <c r="T39" s="47">
        <v>2</v>
      </c>
      <c r="U39" s="47">
        <v>2.9999</v>
      </c>
      <c r="V39" s="47">
        <v>3</v>
      </c>
      <c r="W39" s="47">
        <v>3.9999</v>
      </c>
      <c r="X39" s="47">
        <v>4</v>
      </c>
      <c r="Y39" s="81">
        <v>10000</v>
      </c>
      <c r="Z39" s="255">
        <f t="shared" si="1"/>
        <v>1</v>
      </c>
      <c r="AA39" s="463" t="s">
        <v>404</v>
      </c>
      <c r="AB39" s="464" t="s">
        <v>220</v>
      </c>
      <c r="AC39" s="885" t="s">
        <v>405</v>
      </c>
      <c r="AD39" s="904" t="s">
        <v>417</v>
      </c>
      <c r="AE39" s="875" t="s">
        <v>498</v>
      </c>
      <c r="AF39" s="348"/>
      <c r="AG39" s="1008" t="s">
        <v>260</v>
      </c>
      <c r="AH39" s="1009"/>
      <c r="AI39" s="1009"/>
      <c r="AJ39" s="1009"/>
      <c r="AK39" s="1009"/>
      <c r="AL39" s="1009"/>
      <c r="AM39" s="1009"/>
      <c r="AN39" s="1009"/>
      <c r="AO39" s="1009"/>
      <c r="AP39" s="1009"/>
      <c r="AQ39" s="1009"/>
      <c r="AR39" s="1009"/>
      <c r="AS39" s="1009"/>
      <c r="AT39" s="1009"/>
      <c r="AU39" s="1009"/>
      <c r="AV39" s="1009"/>
      <c r="AW39" s="1009"/>
      <c r="AX39" s="1009"/>
      <c r="AY39" s="1009"/>
      <c r="AZ39" s="1010"/>
      <c r="BA39" s="357">
        <f t="shared" si="30"/>
      </c>
      <c r="BF39">
        <v>4</v>
      </c>
      <c r="BG39" s="358">
        <f t="shared" si="2"/>
        <v>1</v>
      </c>
      <c r="BH39">
        <f t="shared" si="3"/>
        <v>4</v>
      </c>
      <c r="BI39" s="358">
        <f t="shared" si="4"/>
        <v>4</v>
      </c>
    </row>
    <row r="40" spans="1:61" ht="57" customHeight="1" thickBot="1">
      <c r="A40" s="1108"/>
      <c r="B40" s="1033"/>
      <c r="C40" s="318">
        <f t="shared" si="5"/>
        <v>33</v>
      </c>
      <c r="D40" s="794" t="s">
        <v>60</v>
      </c>
      <c r="E40" s="670">
        <v>13</v>
      </c>
      <c r="F40" s="212">
        <f t="shared" si="31"/>
        <v>86</v>
      </c>
      <c r="G40" s="795">
        <f t="shared" si="17"/>
        <v>0.1512</v>
      </c>
      <c r="H40" s="796">
        <f t="shared" si="18"/>
        <v>4</v>
      </c>
      <c r="I40" s="797">
        <v>1.5</v>
      </c>
      <c r="J40" s="798">
        <f t="shared" si="12"/>
        <v>6</v>
      </c>
      <c r="K40" s="44">
        <f t="shared" si="25"/>
      </c>
      <c r="L40" s="45">
        <f t="shared" si="26"/>
      </c>
      <c r="M40" s="45">
        <f t="shared" si="27"/>
      </c>
      <c r="N40" s="45">
        <f t="shared" si="28"/>
      </c>
      <c r="O40" s="45">
        <f t="shared" si="29"/>
        <v>4</v>
      </c>
      <c r="P40" s="46">
        <v>0</v>
      </c>
      <c r="Q40" s="46">
        <v>0</v>
      </c>
      <c r="R40" s="47">
        <v>1E-05</v>
      </c>
      <c r="S40" s="47">
        <v>1.9999</v>
      </c>
      <c r="T40" s="47">
        <v>2</v>
      </c>
      <c r="U40" s="47">
        <v>2.9999</v>
      </c>
      <c r="V40" s="47">
        <v>3</v>
      </c>
      <c r="W40" s="47">
        <v>3.9999</v>
      </c>
      <c r="X40" s="47">
        <v>4</v>
      </c>
      <c r="Y40" s="81">
        <v>10000</v>
      </c>
      <c r="Z40" s="255">
        <f t="shared" si="1"/>
        <v>1</v>
      </c>
      <c r="AA40" s="463" t="s">
        <v>404</v>
      </c>
      <c r="AB40" s="464" t="s">
        <v>220</v>
      </c>
      <c r="AC40" s="885" t="s">
        <v>406</v>
      </c>
      <c r="AD40" s="904" t="s">
        <v>417</v>
      </c>
      <c r="AE40" s="875" t="s">
        <v>498</v>
      </c>
      <c r="AF40" s="348"/>
      <c r="AG40" s="1008" t="s">
        <v>261</v>
      </c>
      <c r="AH40" s="1009"/>
      <c r="AI40" s="1009"/>
      <c r="AJ40" s="1009"/>
      <c r="AK40" s="1009"/>
      <c r="AL40" s="1009"/>
      <c r="AM40" s="1009"/>
      <c r="AN40" s="1009"/>
      <c r="AO40" s="1009"/>
      <c r="AP40" s="1009"/>
      <c r="AQ40" s="1009"/>
      <c r="AR40" s="1009"/>
      <c r="AS40" s="1009"/>
      <c r="AT40" s="1009"/>
      <c r="AU40" s="1009"/>
      <c r="AV40" s="1009"/>
      <c r="AW40" s="1009"/>
      <c r="AX40" s="1009"/>
      <c r="AY40" s="1009"/>
      <c r="AZ40" s="1010"/>
      <c r="BA40" s="357">
        <f t="shared" si="30"/>
      </c>
      <c r="BF40">
        <v>4</v>
      </c>
      <c r="BG40" s="358">
        <f t="shared" si="2"/>
        <v>1.5</v>
      </c>
      <c r="BH40">
        <f t="shared" si="3"/>
        <v>6</v>
      </c>
      <c r="BI40" s="358">
        <f t="shared" si="4"/>
        <v>6</v>
      </c>
    </row>
    <row r="41" spans="1:61" ht="69" customHeight="1" thickBot="1">
      <c r="A41" s="1108" t="s">
        <v>12</v>
      </c>
      <c r="B41" s="1033" t="s">
        <v>13</v>
      </c>
      <c r="C41" s="318">
        <f t="shared" si="5"/>
        <v>34</v>
      </c>
      <c r="D41" s="794" t="s">
        <v>61</v>
      </c>
      <c r="E41" s="670">
        <v>10</v>
      </c>
      <c r="F41" s="212">
        <f t="shared" si="31"/>
        <v>86</v>
      </c>
      <c r="G41" s="795">
        <f t="shared" si="17"/>
        <v>0.1163</v>
      </c>
      <c r="H41" s="796">
        <f t="shared" si="18"/>
        <v>4</v>
      </c>
      <c r="I41" s="797">
        <v>1</v>
      </c>
      <c r="J41" s="798">
        <f t="shared" si="12"/>
        <v>4</v>
      </c>
      <c r="K41" s="44">
        <f t="shared" si="25"/>
      </c>
      <c r="L41" s="45">
        <f t="shared" si="26"/>
      </c>
      <c r="M41" s="45">
        <f t="shared" si="27"/>
      </c>
      <c r="N41" s="45">
        <f t="shared" si="28"/>
      </c>
      <c r="O41" s="45">
        <f t="shared" si="29"/>
        <v>4</v>
      </c>
      <c r="P41" s="46">
        <v>0</v>
      </c>
      <c r="Q41" s="46">
        <v>0</v>
      </c>
      <c r="R41" s="47">
        <v>1E-05</v>
      </c>
      <c r="S41" s="47">
        <v>1.9999</v>
      </c>
      <c r="T41" s="47">
        <v>2</v>
      </c>
      <c r="U41" s="47">
        <v>2.9999</v>
      </c>
      <c r="V41" s="47">
        <v>3</v>
      </c>
      <c r="W41" s="47">
        <v>3.9999</v>
      </c>
      <c r="X41" s="47">
        <v>4</v>
      </c>
      <c r="Y41" s="81">
        <v>10000</v>
      </c>
      <c r="Z41" s="255">
        <f t="shared" si="1"/>
        <v>1</v>
      </c>
      <c r="AA41" s="463" t="s">
        <v>404</v>
      </c>
      <c r="AB41" s="464" t="s">
        <v>220</v>
      </c>
      <c r="AC41" s="885" t="s">
        <v>407</v>
      </c>
      <c r="AD41" s="904" t="s">
        <v>417</v>
      </c>
      <c r="AE41" s="875" t="s">
        <v>498</v>
      </c>
      <c r="AF41" s="348"/>
      <c r="AG41" s="1061" t="s">
        <v>262</v>
      </c>
      <c r="AH41" s="1091"/>
      <c r="AI41" s="1091"/>
      <c r="AJ41" s="1091"/>
      <c r="AK41" s="1091"/>
      <c r="AL41" s="1091"/>
      <c r="AM41" s="1091"/>
      <c r="AN41" s="1091"/>
      <c r="AO41" s="1091"/>
      <c r="AP41" s="1091"/>
      <c r="AQ41" s="1091"/>
      <c r="AR41" s="1091"/>
      <c r="AS41" s="1091"/>
      <c r="AT41" s="1091"/>
      <c r="AU41" s="1091"/>
      <c r="AV41" s="1091"/>
      <c r="AW41" s="1091"/>
      <c r="AX41" s="1091"/>
      <c r="AY41" s="1091"/>
      <c r="AZ41" s="1092"/>
      <c r="BA41" s="357">
        <f t="shared" si="30"/>
      </c>
      <c r="BF41">
        <v>4</v>
      </c>
      <c r="BG41" s="358">
        <f t="shared" si="2"/>
        <v>1</v>
      </c>
      <c r="BH41">
        <f t="shared" si="3"/>
        <v>4</v>
      </c>
      <c r="BI41" s="358">
        <f t="shared" si="4"/>
        <v>4</v>
      </c>
    </row>
    <row r="42" spans="1:61" ht="66" customHeight="1" thickBot="1">
      <c r="A42" s="1108"/>
      <c r="B42" s="1033"/>
      <c r="C42" s="318">
        <f t="shared" si="5"/>
        <v>35</v>
      </c>
      <c r="D42" s="794" t="s">
        <v>62</v>
      </c>
      <c r="E42" s="670">
        <v>10</v>
      </c>
      <c r="F42" s="212">
        <f t="shared" si="31"/>
        <v>86</v>
      </c>
      <c r="G42" s="795">
        <f t="shared" si="17"/>
        <v>0.1163</v>
      </c>
      <c r="H42" s="796">
        <f t="shared" si="18"/>
        <v>2</v>
      </c>
      <c r="I42" s="797">
        <v>1</v>
      </c>
      <c r="J42" s="798">
        <f t="shared" si="12"/>
        <v>2</v>
      </c>
      <c r="K42" s="44">
        <f t="shared" si="25"/>
      </c>
      <c r="L42" s="45">
        <f t="shared" si="26"/>
      </c>
      <c r="M42" s="45">
        <f t="shared" si="27"/>
        <v>2</v>
      </c>
      <c r="N42" s="45">
        <f t="shared" si="28"/>
      </c>
      <c r="O42" s="45">
        <f t="shared" si="29"/>
      </c>
      <c r="P42" s="46">
        <v>0</v>
      </c>
      <c r="Q42" s="46">
        <v>0</v>
      </c>
      <c r="R42" s="47">
        <v>1E-05</v>
      </c>
      <c r="S42" s="47">
        <v>9.9999</v>
      </c>
      <c r="T42" s="47">
        <v>10</v>
      </c>
      <c r="U42" s="47">
        <v>19.9999</v>
      </c>
      <c r="V42" s="47">
        <v>20</v>
      </c>
      <c r="W42" s="47">
        <v>29.9999</v>
      </c>
      <c r="X42" s="47">
        <v>30</v>
      </c>
      <c r="Y42" s="81">
        <v>10000</v>
      </c>
      <c r="Z42" s="255">
        <f t="shared" si="1"/>
        <v>1</v>
      </c>
      <c r="AA42" s="463" t="s">
        <v>404</v>
      </c>
      <c r="AB42" s="464" t="s">
        <v>220</v>
      </c>
      <c r="AC42" s="885" t="s">
        <v>408</v>
      </c>
      <c r="AD42" s="904" t="s">
        <v>417</v>
      </c>
      <c r="AE42" s="875" t="s">
        <v>498</v>
      </c>
      <c r="AF42" s="348"/>
      <c r="AG42" s="1093" t="s">
        <v>264</v>
      </c>
      <c r="AH42" s="1094"/>
      <c r="AI42" s="1094"/>
      <c r="AJ42" s="1094"/>
      <c r="AK42" s="1094"/>
      <c r="AL42" s="1094"/>
      <c r="AM42" s="1094"/>
      <c r="AN42" s="1094"/>
      <c r="AO42" s="1094"/>
      <c r="AP42" s="1094"/>
      <c r="AQ42" s="1094"/>
      <c r="AR42" s="1094"/>
      <c r="AS42" s="1094"/>
      <c r="AT42" s="1094"/>
      <c r="AU42" s="1094"/>
      <c r="AV42" s="1094"/>
      <c r="AW42" s="1094"/>
      <c r="AX42" s="1094"/>
      <c r="AY42" s="1094"/>
      <c r="AZ42" s="1095"/>
      <c r="BA42" s="357">
        <f t="shared" si="30"/>
      </c>
      <c r="BF42">
        <v>4</v>
      </c>
      <c r="BG42" s="358">
        <f t="shared" si="2"/>
        <v>1</v>
      </c>
      <c r="BH42">
        <f t="shared" si="3"/>
        <v>4</v>
      </c>
      <c r="BI42" s="358">
        <f t="shared" si="4"/>
        <v>2</v>
      </c>
    </row>
    <row r="43" spans="1:61" ht="77.25" customHeight="1" thickBot="1">
      <c r="A43" s="1108"/>
      <c r="B43" s="1033"/>
      <c r="C43" s="318">
        <f t="shared" si="5"/>
        <v>36</v>
      </c>
      <c r="D43" s="906" t="s">
        <v>63</v>
      </c>
      <c r="E43" s="670">
        <v>16</v>
      </c>
      <c r="F43" s="212">
        <f t="shared" si="31"/>
        <v>86</v>
      </c>
      <c r="G43" s="795">
        <f t="shared" si="17"/>
        <v>0.186</v>
      </c>
      <c r="H43" s="796">
        <f t="shared" si="18"/>
        <v>1</v>
      </c>
      <c r="I43" s="797">
        <v>1.5</v>
      </c>
      <c r="J43" s="798">
        <f t="shared" si="12"/>
        <v>1.5</v>
      </c>
      <c r="K43" s="44">
        <f t="shared" si="25"/>
      </c>
      <c r="L43" s="45">
        <f t="shared" si="26"/>
        <v>1</v>
      </c>
      <c r="M43" s="45">
        <f t="shared" si="27"/>
      </c>
      <c r="N43" s="45">
        <f t="shared" si="28"/>
      </c>
      <c r="O43" s="45">
        <f t="shared" si="29"/>
      </c>
      <c r="P43" s="46">
        <v>0</v>
      </c>
      <c r="Q43" s="46">
        <v>0</v>
      </c>
      <c r="R43" s="47">
        <v>1E-05</v>
      </c>
      <c r="S43" s="47">
        <v>19.9999</v>
      </c>
      <c r="T43" s="47">
        <v>20</v>
      </c>
      <c r="U43" s="47">
        <v>29.9999</v>
      </c>
      <c r="V43" s="47">
        <v>30</v>
      </c>
      <c r="W43" s="47">
        <v>39.9999</v>
      </c>
      <c r="X43" s="47">
        <v>40</v>
      </c>
      <c r="Y43" s="81">
        <v>10000</v>
      </c>
      <c r="Z43" s="255">
        <f t="shared" si="1"/>
        <v>1</v>
      </c>
      <c r="AA43" s="463" t="s">
        <v>404</v>
      </c>
      <c r="AB43" s="464" t="s">
        <v>220</v>
      </c>
      <c r="AC43" s="885" t="s">
        <v>409</v>
      </c>
      <c r="AD43" s="904" t="s">
        <v>417</v>
      </c>
      <c r="AE43" s="875" t="s">
        <v>498</v>
      </c>
      <c r="AF43" s="348"/>
      <c r="AG43" s="1093" t="s">
        <v>264</v>
      </c>
      <c r="AH43" s="1094"/>
      <c r="AI43" s="1094"/>
      <c r="AJ43" s="1094"/>
      <c r="AK43" s="1094"/>
      <c r="AL43" s="1094"/>
      <c r="AM43" s="1094"/>
      <c r="AN43" s="1094"/>
      <c r="AO43" s="1094"/>
      <c r="AP43" s="1094"/>
      <c r="AQ43" s="1094"/>
      <c r="AR43" s="1094"/>
      <c r="AS43" s="1094"/>
      <c r="AT43" s="1094"/>
      <c r="AU43" s="1094"/>
      <c r="AV43" s="1094"/>
      <c r="AW43" s="1094"/>
      <c r="AX43" s="1094"/>
      <c r="AY43" s="1094"/>
      <c r="AZ43" s="1095"/>
      <c r="BA43" s="357">
        <f t="shared" si="30"/>
      </c>
      <c r="BF43">
        <v>4</v>
      </c>
      <c r="BG43" s="358">
        <f t="shared" si="2"/>
        <v>1.5</v>
      </c>
      <c r="BH43">
        <f t="shared" si="3"/>
        <v>6</v>
      </c>
      <c r="BI43" s="358">
        <f t="shared" si="4"/>
        <v>1.5</v>
      </c>
    </row>
    <row r="44" spans="1:61" ht="65.25" customHeight="1" thickBot="1">
      <c r="A44" s="1108"/>
      <c r="B44" s="1033"/>
      <c r="C44" s="318">
        <f t="shared" si="5"/>
        <v>37</v>
      </c>
      <c r="D44" s="794" t="s">
        <v>64</v>
      </c>
      <c r="E44" s="1018">
        <v>1</v>
      </c>
      <c r="F44" s="1018"/>
      <c r="G44" s="799">
        <f>+E44</f>
        <v>1</v>
      </c>
      <c r="H44" s="800">
        <f>IF(E44="","",SUM(K44:O44))</f>
        <v>1</v>
      </c>
      <c r="I44" s="797">
        <v>1.5</v>
      </c>
      <c r="J44" s="798">
        <f t="shared" si="12"/>
        <v>1.5</v>
      </c>
      <c r="K44" s="734">
        <f>IF($E44&lt;$R44,$K$5,"")</f>
      </c>
      <c r="L44" s="50">
        <f>IF(AND($E44&lt;$T44,$E44&gt;$Q44),$L$5,"")</f>
        <v>1</v>
      </c>
      <c r="M44" s="50">
        <f>IF(AND($E44&lt;$V44,$E44&gt;$S44),$M$5,"")</f>
      </c>
      <c r="N44" s="50">
        <f>IF(AND($E44&lt;$X44,$E44&gt;$U44),$N$5,"")</f>
      </c>
      <c r="O44" s="50">
        <f>IF(AND($E44&lt;Y44,E44&gt;W44),$O$5,"")</f>
      </c>
      <c r="P44" s="8">
        <v>0</v>
      </c>
      <c r="Q44" s="8">
        <v>0</v>
      </c>
      <c r="R44" s="8">
        <v>1</v>
      </c>
      <c r="S44" s="8">
        <v>1</v>
      </c>
      <c r="T44" s="8">
        <v>2</v>
      </c>
      <c r="U44" s="8">
        <v>2</v>
      </c>
      <c r="V44" s="8">
        <v>3</v>
      </c>
      <c r="W44" s="8">
        <v>3</v>
      </c>
      <c r="X44" s="8">
        <v>4</v>
      </c>
      <c r="Y44" s="81">
        <v>10000</v>
      </c>
      <c r="Z44" s="255">
        <f t="shared" si="1"/>
        <v>1</v>
      </c>
      <c r="AA44" s="463" t="s">
        <v>404</v>
      </c>
      <c r="AB44" s="464" t="s">
        <v>220</v>
      </c>
      <c r="AC44" s="885" t="s">
        <v>410</v>
      </c>
      <c r="AD44" s="904" t="s">
        <v>417</v>
      </c>
      <c r="AE44" s="875" t="s">
        <v>498</v>
      </c>
      <c r="AF44" s="348"/>
      <c r="AG44" s="1061" t="s">
        <v>263</v>
      </c>
      <c r="AH44" s="1091"/>
      <c r="AI44" s="1091"/>
      <c r="AJ44" s="1091"/>
      <c r="AK44" s="1091"/>
      <c r="AL44" s="1091"/>
      <c r="AM44" s="1091"/>
      <c r="AN44" s="1091"/>
      <c r="AO44" s="1091"/>
      <c r="AP44" s="1091"/>
      <c r="AQ44" s="1091"/>
      <c r="AR44" s="1091"/>
      <c r="AS44" s="1091"/>
      <c r="AT44" s="1091"/>
      <c r="AU44" s="1091"/>
      <c r="AV44" s="1091"/>
      <c r="AW44" s="1091"/>
      <c r="AX44" s="1091"/>
      <c r="AY44" s="1091"/>
      <c r="AZ44" s="1092"/>
      <c r="BA44" s="356"/>
      <c r="BF44">
        <v>4</v>
      </c>
      <c r="BG44" s="358">
        <f t="shared" si="2"/>
        <v>1.5</v>
      </c>
      <c r="BH44">
        <f t="shared" si="3"/>
        <v>6</v>
      </c>
      <c r="BI44" s="358">
        <f t="shared" si="4"/>
        <v>1.5</v>
      </c>
    </row>
    <row r="45" spans="1:61" ht="84.75" customHeight="1" thickBot="1">
      <c r="A45" s="1108"/>
      <c r="B45" s="1033"/>
      <c r="C45" s="318">
        <f t="shared" si="5"/>
        <v>38</v>
      </c>
      <c r="D45" s="794" t="s">
        <v>65</v>
      </c>
      <c r="E45" s="1018">
        <v>3</v>
      </c>
      <c r="F45" s="1018"/>
      <c r="G45" s="799">
        <f>+E45</f>
        <v>3</v>
      </c>
      <c r="H45" s="800">
        <f>IF(E45="","",SUM(K45:O45))</f>
        <v>3</v>
      </c>
      <c r="I45" s="797">
        <v>1.5</v>
      </c>
      <c r="J45" s="798">
        <f t="shared" si="12"/>
        <v>4.5</v>
      </c>
      <c r="K45" s="734">
        <f>IF($E45&lt;$R45,$K$5,"")</f>
      </c>
      <c r="L45" s="50">
        <f>IF(AND($E45&lt;$T45,$E45&gt;$Q45),$L$5,"")</f>
      </c>
      <c r="M45" s="50">
        <f>IF(AND($E45&lt;$V45,$E45&gt;$S45),$M$5,"")</f>
      </c>
      <c r="N45" s="50">
        <f>IF(AND($E45&lt;$X45,$E45&gt;$U45),$N$5,"")</f>
        <v>3</v>
      </c>
      <c r="O45" s="50">
        <f>IF(AND($E45&lt;Y45,E45&gt;W45),$O$5,"")</f>
      </c>
      <c r="P45" s="8">
        <v>0</v>
      </c>
      <c r="Q45" s="8">
        <v>0</v>
      </c>
      <c r="R45" s="8">
        <v>1</v>
      </c>
      <c r="S45" s="8">
        <v>1</v>
      </c>
      <c r="T45" s="8">
        <v>2</v>
      </c>
      <c r="U45" s="8">
        <v>2</v>
      </c>
      <c r="V45" s="8">
        <v>3</v>
      </c>
      <c r="W45" s="8">
        <v>3</v>
      </c>
      <c r="X45" s="8">
        <v>4</v>
      </c>
      <c r="Y45" s="81">
        <v>10000</v>
      </c>
      <c r="Z45" s="255">
        <f t="shared" si="1"/>
        <v>1</v>
      </c>
      <c r="AA45" s="463" t="s">
        <v>404</v>
      </c>
      <c r="AB45" s="464" t="s">
        <v>220</v>
      </c>
      <c r="AC45" s="885" t="s">
        <v>411</v>
      </c>
      <c r="AD45" s="904" t="s">
        <v>417</v>
      </c>
      <c r="AE45" s="875" t="s">
        <v>498</v>
      </c>
      <c r="AF45" s="348"/>
      <c r="AG45" s="1061" t="s">
        <v>265</v>
      </c>
      <c r="AH45" s="1091"/>
      <c r="AI45" s="1091"/>
      <c r="AJ45" s="1091"/>
      <c r="AK45" s="1091"/>
      <c r="AL45" s="1091"/>
      <c r="AM45" s="1091"/>
      <c r="AN45" s="1091"/>
      <c r="AO45" s="1091"/>
      <c r="AP45" s="1091"/>
      <c r="AQ45" s="1091"/>
      <c r="AR45" s="1091"/>
      <c r="AS45" s="1091"/>
      <c r="AT45" s="1091"/>
      <c r="AU45" s="1091"/>
      <c r="AV45" s="1091"/>
      <c r="AW45" s="1091"/>
      <c r="AX45" s="1091"/>
      <c r="AY45" s="1091"/>
      <c r="AZ45" s="1092"/>
      <c r="BA45" s="356"/>
      <c r="BF45">
        <v>4</v>
      </c>
      <c r="BG45" s="358">
        <f t="shared" si="2"/>
        <v>1.5</v>
      </c>
      <c r="BH45">
        <f t="shared" si="3"/>
        <v>6</v>
      </c>
      <c r="BI45" s="358">
        <f t="shared" si="4"/>
        <v>4.5</v>
      </c>
    </row>
    <row r="46" spans="1:61" ht="99.75" customHeight="1" thickBot="1">
      <c r="A46" s="1108" t="s">
        <v>12</v>
      </c>
      <c r="B46" s="1033" t="s">
        <v>13</v>
      </c>
      <c r="C46" s="318">
        <f t="shared" si="5"/>
        <v>39</v>
      </c>
      <c r="D46" s="794" t="s">
        <v>66</v>
      </c>
      <c r="E46" s="670">
        <v>0</v>
      </c>
      <c r="F46" s="212">
        <f>+$E$27</f>
        <v>86</v>
      </c>
      <c r="G46" s="795">
        <f>IF(E46="","",ROUND(E46/F46,4))</f>
        <v>0</v>
      </c>
      <c r="H46" s="796">
        <f>IF(OR(E46="",F46="",F46=0),"",SUM(K46:O46))</f>
        <v>0</v>
      </c>
      <c r="I46" s="797">
        <v>1</v>
      </c>
      <c r="J46" s="798">
        <f t="shared" si="12"/>
        <v>0</v>
      </c>
      <c r="K46" s="44">
        <f>IF($G46&lt;$R46%,$K$5,"")</f>
        <v>0</v>
      </c>
      <c r="L46" s="45">
        <f>IF(AND($G46&lt;$T46%,$G46&gt;$Q46%),$L$5,"")</f>
      </c>
      <c r="M46" s="45">
        <f>IF(AND($G46&lt;$V46%,$G46&gt;$S46%),$M$5,"")</f>
      </c>
      <c r="N46" s="45">
        <f>IF(AND($G46&lt;$X46%,$G46&gt;$U46%),$N$5,"")</f>
      </c>
      <c r="O46" s="45">
        <f>IF(AND($G46&lt;Y46%,G46&gt;W46%),$O$5,"")</f>
      </c>
      <c r="P46" s="46">
        <v>0</v>
      </c>
      <c r="Q46" s="46">
        <v>0</v>
      </c>
      <c r="R46" s="47">
        <v>1E-05</v>
      </c>
      <c r="S46" s="47">
        <v>1.9999</v>
      </c>
      <c r="T46" s="47">
        <v>2</v>
      </c>
      <c r="U46" s="47">
        <v>4.9999</v>
      </c>
      <c r="V46" s="47">
        <v>5</v>
      </c>
      <c r="W46" s="47">
        <v>8.9999</v>
      </c>
      <c r="X46" s="47">
        <v>9</v>
      </c>
      <c r="Y46" s="81">
        <v>10000</v>
      </c>
      <c r="Z46" s="255">
        <f t="shared" si="1"/>
        <v>0</v>
      </c>
      <c r="AA46" s="463" t="s">
        <v>404</v>
      </c>
      <c r="AB46" s="464" t="s">
        <v>220</v>
      </c>
      <c r="AC46" s="885" t="s">
        <v>402</v>
      </c>
      <c r="AD46" s="904" t="s">
        <v>396</v>
      </c>
      <c r="AE46" s="875" t="s">
        <v>499</v>
      </c>
      <c r="AF46" s="348"/>
      <c r="AG46" s="1061" t="s">
        <v>266</v>
      </c>
      <c r="AH46" s="1091"/>
      <c r="AI46" s="1091"/>
      <c r="AJ46" s="1091"/>
      <c r="AK46" s="1091"/>
      <c r="AL46" s="1091"/>
      <c r="AM46" s="1091"/>
      <c r="AN46" s="1091"/>
      <c r="AO46" s="1091"/>
      <c r="AP46" s="1091"/>
      <c r="AQ46" s="1091"/>
      <c r="AR46" s="1091"/>
      <c r="AS46" s="1091"/>
      <c r="AT46" s="1091"/>
      <c r="AU46" s="1091"/>
      <c r="AV46" s="1091"/>
      <c r="AW46" s="1091"/>
      <c r="AX46" s="1091"/>
      <c r="AY46" s="1091"/>
      <c r="AZ46" s="1092"/>
      <c r="BA46" s="357">
        <f>IF(E46&gt;F46,"ERROR INPUT","")</f>
      </c>
      <c r="BF46">
        <v>4</v>
      </c>
      <c r="BG46" s="358">
        <f t="shared" si="2"/>
        <v>1</v>
      </c>
      <c r="BH46">
        <f t="shared" si="3"/>
        <v>4</v>
      </c>
      <c r="BI46" s="358">
        <f t="shared" si="4"/>
        <v>0</v>
      </c>
    </row>
    <row r="47" spans="1:63" ht="69" customHeight="1" thickBot="1">
      <c r="A47" s="1108"/>
      <c r="B47" s="1033"/>
      <c r="C47" s="318">
        <f t="shared" si="5"/>
        <v>40</v>
      </c>
      <c r="D47" s="794" t="s">
        <v>67</v>
      </c>
      <c r="E47" s="1018"/>
      <c r="F47" s="1018"/>
      <c r="G47" s="799">
        <f>+E47</f>
        <v>0</v>
      </c>
      <c r="H47" s="800">
        <f>IF(E47="","",SUM(K47:O47))</f>
      </c>
      <c r="I47" s="797">
        <v>1</v>
      </c>
      <c r="J47" s="798">
        <f t="shared" si="12"/>
      </c>
      <c r="K47" s="734">
        <f>IF($E47&lt;$R47,$K$5,"")</f>
        <v>0</v>
      </c>
      <c r="L47" s="50">
        <f>IF(AND($E47&lt;$T47,$E47&gt;$Q47),$L$5,"")</f>
      </c>
      <c r="M47" s="50">
        <f>IF(AND($E47&lt;$V47,$E47&gt;$S47),$M$5,"")</f>
      </c>
      <c r="N47" s="50">
        <f>IF(AND($E47&lt;$X47,$E47&gt;$U47),$N$5,"")</f>
      </c>
      <c r="O47" s="50">
        <f>IF(AND($E47&lt;Y47,E47&gt;W47),$O$5,"")</f>
      </c>
      <c r="P47" s="8">
        <v>0</v>
      </c>
      <c r="Q47" s="8">
        <v>0</v>
      </c>
      <c r="R47" s="8">
        <v>1</v>
      </c>
      <c r="S47" s="8">
        <v>1</v>
      </c>
      <c r="T47" s="8">
        <v>2</v>
      </c>
      <c r="U47" s="8">
        <v>2</v>
      </c>
      <c r="V47" s="8">
        <v>3</v>
      </c>
      <c r="W47" s="8">
        <v>3</v>
      </c>
      <c r="X47" s="8">
        <v>4</v>
      </c>
      <c r="Y47" s="81">
        <v>10000</v>
      </c>
      <c r="Z47" s="255">
        <f t="shared" si="1"/>
        <v>0</v>
      </c>
      <c r="AA47" s="465" t="s">
        <v>404</v>
      </c>
      <c r="AB47" s="466" t="s">
        <v>220</v>
      </c>
      <c r="AC47" s="886" t="s">
        <v>402</v>
      </c>
      <c r="AD47" s="904" t="s">
        <v>396</v>
      </c>
      <c r="AE47" s="875" t="s">
        <v>499</v>
      </c>
      <c r="AF47" s="348"/>
      <c r="AG47" s="1061" t="s">
        <v>267</v>
      </c>
      <c r="AH47" s="1091"/>
      <c r="AI47" s="1091"/>
      <c r="AJ47" s="1091"/>
      <c r="AK47" s="1091"/>
      <c r="AL47" s="1091"/>
      <c r="AM47" s="1091"/>
      <c r="AN47" s="1091"/>
      <c r="AO47" s="1091"/>
      <c r="AP47" s="1091"/>
      <c r="AQ47" s="1091"/>
      <c r="AR47" s="1091"/>
      <c r="AS47" s="1091"/>
      <c r="AT47" s="1091"/>
      <c r="AU47" s="1091"/>
      <c r="AV47" s="1091"/>
      <c r="AW47" s="1091"/>
      <c r="AX47" s="1091"/>
      <c r="AY47" s="1091"/>
      <c r="AZ47" s="1092"/>
      <c r="BA47" s="356"/>
      <c r="BF47">
        <v>4</v>
      </c>
      <c r="BG47" s="358">
        <f t="shared" si="2"/>
        <v>1</v>
      </c>
      <c r="BH47">
        <f t="shared" si="3"/>
        <v>4</v>
      </c>
      <c r="BI47" s="358">
        <f t="shared" si="4"/>
        <v>0</v>
      </c>
      <c r="BJ47" s="358">
        <f>SUM(BH38:BH47)</f>
        <v>48</v>
      </c>
      <c r="BK47" s="358">
        <f>SUM(BI38:BI47)</f>
        <v>24.5</v>
      </c>
    </row>
    <row r="48" spans="1:61" ht="54" customHeight="1" thickBot="1">
      <c r="A48" s="1108"/>
      <c r="B48" s="1040" t="s">
        <v>14</v>
      </c>
      <c r="C48" s="319">
        <f t="shared" si="5"/>
        <v>41</v>
      </c>
      <c r="D48" s="801" t="s">
        <v>68</v>
      </c>
      <c r="E48" s="802">
        <v>6</v>
      </c>
      <c r="F48" s="363">
        <f>+$E$27</f>
        <v>86</v>
      </c>
      <c r="G48" s="803">
        <f>IF(E48="","",ROUND(E48/F48,4))</f>
        <v>0.0698</v>
      </c>
      <c r="H48" s="804">
        <f>IF(OR(E48="",F48="",F48=0),"",SUM(K48:O48))</f>
        <v>1</v>
      </c>
      <c r="I48" s="805">
        <v>1</v>
      </c>
      <c r="J48" s="806">
        <f t="shared" si="12"/>
        <v>1</v>
      </c>
      <c r="K48" s="735">
        <f>IF($G48&lt;$R48%,$K$5,"")</f>
      </c>
      <c r="L48" s="23">
        <f>IF(AND($G48&lt;$T48%,$G48&gt;$Q48%),$L$5,"")</f>
        <v>1</v>
      </c>
      <c r="M48" s="23">
        <f>IF(AND($G48&lt;$V48%,$G48&gt;$S48%),$M$5,"")</f>
      </c>
      <c r="N48" s="23">
        <f>IF(AND($G48&lt;$X48%,$G48&gt;$U48%),$N$5,"")</f>
      </c>
      <c r="O48" s="23">
        <f>IF(AND($G48&lt;Y48%,G48&gt;W48%),$O$5,"")</f>
      </c>
      <c r="P48" s="51">
        <v>0</v>
      </c>
      <c r="Q48" s="51">
        <v>0</v>
      </c>
      <c r="R48" s="52">
        <v>1E-05</v>
      </c>
      <c r="S48" s="52">
        <v>19.9999</v>
      </c>
      <c r="T48" s="52">
        <v>20</v>
      </c>
      <c r="U48" s="52">
        <v>29.9999</v>
      </c>
      <c r="V48" s="52">
        <v>30</v>
      </c>
      <c r="W48" s="52">
        <v>39.9999</v>
      </c>
      <c r="X48" s="52">
        <v>40</v>
      </c>
      <c r="Y48" s="82">
        <v>10000</v>
      </c>
      <c r="Z48" s="255">
        <f t="shared" si="1"/>
        <v>1</v>
      </c>
      <c r="AA48" s="468" t="s">
        <v>412</v>
      </c>
      <c r="AB48" s="469" t="s">
        <v>220</v>
      </c>
      <c r="AC48" s="887" t="s">
        <v>413</v>
      </c>
      <c r="AD48" s="904" t="s">
        <v>417</v>
      </c>
      <c r="AE48" s="875" t="s">
        <v>498</v>
      </c>
      <c r="AF48" s="348"/>
      <c r="AG48" s="1061" t="s">
        <v>268</v>
      </c>
      <c r="AH48" s="1091"/>
      <c r="AI48" s="1091"/>
      <c r="AJ48" s="1091"/>
      <c r="AK48" s="1091"/>
      <c r="AL48" s="1091"/>
      <c r="AM48" s="1091"/>
      <c r="AN48" s="1091"/>
      <c r="AO48" s="1091"/>
      <c r="AP48" s="1091"/>
      <c r="AQ48" s="1091"/>
      <c r="AR48" s="1091"/>
      <c r="AS48" s="1091"/>
      <c r="AT48" s="1091"/>
      <c r="AU48" s="1091"/>
      <c r="AV48" s="1091"/>
      <c r="AW48" s="1091"/>
      <c r="AX48" s="1091"/>
      <c r="AY48" s="1091"/>
      <c r="AZ48" s="1092"/>
      <c r="BA48" s="357">
        <f>IF(E48&gt;F48,"ERROR INPUT","")</f>
      </c>
      <c r="BF48">
        <v>4</v>
      </c>
      <c r="BG48" s="358">
        <f t="shared" si="2"/>
        <v>1</v>
      </c>
      <c r="BH48">
        <f t="shared" si="3"/>
        <v>4</v>
      </c>
      <c r="BI48" s="358">
        <f t="shared" si="4"/>
        <v>1</v>
      </c>
    </row>
    <row r="49" spans="1:61" ht="93" customHeight="1" thickBot="1">
      <c r="A49" s="1108"/>
      <c r="B49" s="1040"/>
      <c r="C49" s="319">
        <f t="shared" si="5"/>
        <v>42</v>
      </c>
      <c r="D49" s="801" t="s">
        <v>69</v>
      </c>
      <c r="E49" s="802">
        <v>1</v>
      </c>
      <c r="F49" s="213">
        <f>+$E$27</f>
        <v>86</v>
      </c>
      <c r="G49" s="803">
        <f>IF(E49="","",ROUND(E49/F49,4))</f>
        <v>0.0116</v>
      </c>
      <c r="H49" s="804">
        <f>IF(OR(E49="",F49="",F49=0),"",SUM(K49:O49))</f>
        <v>2</v>
      </c>
      <c r="I49" s="805">
        <v>1</v>
      </c>
      <c r="J49" s="806">
        <f t="shared" si="12"/>
        <v>2</v>
      </c>
      <c r="K49" s="735">
        <f>IF($G49&lt;$R49%,$K$5,"")</f>
      </c>
      <c r="L49" s="23">
        <f>IF(AND($G49&lt;$T49%,$G49&gt;$Q49%),$L$5,"")</f>
      </c>
      <c r="M49" s="23">
        <f>IF(AND($G49&lt;$V49%,$G49&gt;$S49%),$M$5,"")</f>
        <v>2</v>
      </c>
      <c r="N49" s="23">
        <f>IF(AND($G49&lt;$X49%,$G49&gt;$U49%),$N$5,"")</f>
      </c>
      <c r="O49" s="23">
        <f>IF(AND($G49&lt;Y49%,G49&gt;W49%),$O$5,"")</f>
      </c>
      <c r="P49" s="9">
        <v>0</v>
      </c>
      <c r="Q49" s="9">
        <v>0</v>
      </c>
      <c r="R49" s="9">
        <v>1E-05</v>
      </c>
      <c r="S49" s="9">
        <v>0.999</v>
      </c>
      <c r="T49" s="9">
        <v>1</v>
      </c>
      <c r="U49" s="9">
        <v>1.999</v>
      </c>
      <c r="V49" s="9">
        <v>2</v>
      </c>
      <c r="W49" s="9">
        <v>2.999</v>
      </c>
      <c r="X49" s="9">
        <v>3</v>
      </c>
      <c r="Y49" s="82">
        <v>10000</v>
      </c>
      <c r="Z49" s="255">
        <f t="shared" si="1"/>
        <v>1</v>
      </c>
      <c r="AA49" s="468" t="s">
        <v>412</v>
      </c>
      <c r="AB49" s="469" t="s">
        <v>220</v>
      </c>
      <c r="AC49" s="887" t="s">
        <v>414</v>
      </c>
      <c r="AD49" s="904" t="s">
        <v>417</v>
      </c>
      <c r="AE49" s="875" t="s">
        <v>498</v>
      </c>
      <c r="AF49" s="348"/>
      <c r="AG49" s="1061" t="s">
        <v>269</v>
      </c>
      <c r="AH49" s="1091"/>
      <c r="AI49" s="1091"/>
      <c r="AJ49" s="1091"/>
      <c r="AK49" s="1091"/>
      <c r="AL49" s="1091"/>
      <c r="AM49" s="1091"/>
      <c r="AN49" s="1091"/>
      <c r="AO49" s="1091"/>
      <c r="AP49" s="1091"/>
      <c r="AQ49" s="1091"/>
      <c r="AR49" s="1091"/>
      <c r="AS49" s="1091"/>
      <c r="AT49" s="1091"/>
      <c r="AU49" s="1091"/>
      <c r="AV49" s="1091"/>
      <c r="AW49" s="1091"/>
      <c r="AX49" s="1091"/>
      <c r="AY49" s="1091"/>
      <c r="AZ49" s="1092"/>
      <c r="BA49" s="357">
        <f>IF(E49&gt;F49,"ERROR INPUT","")</f>
      </c>
      <c r="BF49">
        <v>4</v>
      </c>
      <c r="BG49" s="358">
        <f t="shared" si="2"/>
        <v>1</v>
      </c>
      <c r="BH49">
        <f t="shared" si="3"/>
        <v>4</v>
      </c>
      <c r="BI49" s="358">
        <f t="shared" si="4"/>
        <v>2</v>
      </c>
    </row>
    <row r="50" spans="1:63" ht="84.75" customHeight="1" thickBot="1">
      <c r="A50" s="1108"/>
      <c r="B50" s="1040"/>
      <c r="C50" s="319">
        <f t="shared" si="5"/>
        <v>43</v>
      </c>
      <c r="D50" s="801" t="s">
        <v>70</v>
      </c>
      <c r="E50" s="1019">
        <v>0</v>
      </c>
      <c r="F50" s="1019"/>
      <c r="G50" s="807">
        <f>+E50</f>
        <v>0</v>
      </c>
      <c r="H50" s="808">
        <f>IF(E50="","",SUM(K50:O50))</f>
        <v>0</v>
      </c>
      <c r="I50" s="805">
        <v>1</v>
      </c>
      <c r="J50" s="806">
        <f t="shared" si="12"/>
        <v>0</v>
      </c>
      <c r="K50" s="736">
        <f>IF($E50&lt;$R50,$K$5,"")</f>
        <v>0</v>
      </c>
      <c r="L50" s="714">
        <f>IF(AND($E50&lt;$T50,$E50&gt;$Q50),$L$5,"")</f>
      </c>
      <c r="M50" s="714">
        <f>IF(AND($E50&lt;$V50,$E50&gt;$S50),$M$5,"")</f>
      </c>
      <c r="N50" s="714">
        <f>IF(AND($E50&lt;$X50,$E50&gt;$U50),$N$5,"")</f>
      </c>
      <c r="O50" s="714">
        <f>IF(AND($E50&lt;Y50,E50&gt;W50),$O$5,"")</f>
      </c>
      <c r="P50" s="715">
        <v>0</v>
      </c>
      <c r="Q50" s="715">
        <v>0</v>
      </c>
      <c r="R50" s="715">
        <v>1</v>
      </c>
      <c r="S50" s="715">
        <v>1</v>
      </c>
      <c r="T50" s="715">
        <v>2</v>
      </c>
      <c r="U50" s="715">
        <v>2</v>
      </c>
      <c r="V50" s="715">
        <v>3</v>
      </c>
      <c r="W50" s="715">
        <v>3</v>
      </c>
      <c r="X50" s="715">
        <v>4</v>
      </c>
      <c r="Y50" s="716">
        <v>10000</v>
      </c>
      <c r="Z50" s="709">
        <f t="shared" si="1"/>
        <v>0</v>
      </c>
      <c r="AA50" s="468"/>
      <c r="AB50" s="469" t="s">
        <v>220</v>
      </c>
      <c r="AC50" s="887"/>
      <c r="AD50" s="904" t="s">
        <v>396</v>
      </c>
      <c r="AE50" s="876" t="s">
        <v>499</v>
      </c>
      <c r="AF50" s="348"/>
      <c r="AG50" s="1061" t="s">
        <v>270</v>
      </c>
      <c r="AH50" s="1091"/>
      <c r="AI50" s="1091"/>
      <c r="AJ50" s="1091"/>
      <c r="AK50" s="1091"/>
      <c r="AL50" s="1091"/>
      <c r="AM50" s="1091"/>
      <c r="AN50" s="1091"/>
      <c r="AO50" s="1091"/>
      <c r="AP50" s="1091"/>
      <c r="AQ50" s="1091"/>
      <c r="AR50" s="1091"/>
      <c r="AS50" s="1091"/>
      <c r="AT50" s="1091"/>
      <c r="AU50" s="1091"/>
      <c r="AV50" s="1091"/>
      <c r="AW50" s="1091"/>
      <c r="AX50" s="1091"/>
      <c r="AY50" s="1091"/>
      <c r="AZ50" s="1092"/>
      <c r="BA50" s="356"/>
      <c r="BF50">
        <v>4</v>
      </c>
      <c r="BG50" s="358">
        <f t="shared" si="2"/>
        <v>1</v>
      </c>
      <c r="BH50">
        <f t="shared" si="3"/>
        <v>4</v>
      </c>
      <c r="BI50" s="358">
        <f t="shared" si="4"/>
        <v>0</v>
      </c>
      <c r="BJ50" s="358">
        <f>SUM(BH48:BH50)</f>
        <v>12</v>
      </c>
      <c r="BK50" s="358">
        <f>SUM(BI48:BI50)</f>
        <v>3</v>
      </c>
    </row>
    <row r="51" spans="1:61" ht="37.5" customHeight="1" thickBot="1">
      <c r="A51" s="1110" t="s">
        <v>15</v>
      </c>
      <c r="B51" s="1109" t="s">
        <v>16</v>
      </c>
      <c r="C51" s="320">
        <f t="shared" si="5"/>
        <v>44</v>
      </c>
      <c r="D51" s="809" t="s">
        <v>71</v>
      </c>
      <c r="E51" s="1015" t="s">
        <v>417</v>
      </c>
      <c r="F51" s="1015"/>
      <c r="G51" s="810" t="str">
        <f>+E51</f>
        <v>YES</v>
      </c>
      <c r="H51" s="811">
        <f>IF(E51="","",SUM(K51:O51))</f>
        <v>4</v>
      </c>
      <c r="I51" s="812">
        <v>0.5</v>
      </c>
      <c r="J51" s="813">
        <f t="shared" si="12"/>
        <v>2</v>
      </c>
      <c r="K51" s="737">
        <f>IF(OR(E51="",E51="NO"),$K$5,"")</f>
      </c>
      <c r="L51" s="710">
        <f>IF(AND($G51&lt;$T51%,$G51&gt;$Q51%),$L$5,"")</f>
      </c>
      <c r="M51" s="710">
        <f>IF(AND($G51&lt;$V51%,$G51&gt;$S51%),$M$5,"")</f>
      </c>
      <c r="N51" s="710">
        <f>IF(AND($G51&lt;$X51%,$G51&gt;$U51%),$N$5,"")</f>
      </c>
      <c r="O51" s="710">
        <f>IF(E51="YES",$O$5,"")</f>
        <v>4</v>
      </c>
      <c r="P51" s="74"/>
      <c r="Q51" s="74"/>
      <c r="R51" s="711"/>
      <c r="S51" s="711"/>
      <c r="T51" s="74"/>
      <c r="U51" s="74"/>
      <c r="V51" s="74"/>
      <c r="W51" s="74"/>
      <c r="X51" s="74"/>
      <c r="Y51" s="74"/>
      <c r="Z51" s="255">
        <f t="shared" si="1"/>
        <v>1</v>
      </c>
      <c r="AA51" s="712" t="s">
        <v>476</v>
      </c>
      <c r="AB51" s="713" t="s">
        <v>220</v>
      </c>
      <c r="AC51" s="888" t="s">
        <v>477</v>
      </c>
      <c r="AD51" s="904" t="s">
        <v>417</v>
      </c>
      <c r="AE51" s="700" t="s">
        <v>500</v>
      </c>
      <c r="AF51" s="348"/>
      <c r="AG51" s="1008" t="s">
        <v>273</v>
      </c>
      <c r="AH51" s="1009"/>
      <c r="AI51" s="1009"/>
      <c r="AJ51" s="1009"/>
      <c r="AK51" s="1009"/>
      <c r="AL51" s="1009"/>
      <c r="AM51" s="1009"/>
      <c r="AN51" s="1009"/>
      <c r="AO51" s="1009"/>
      <c r="AP51" s="1009"/>
      <c r="AQ51" s="1009"/>
      <c r="AR51" s="1009"/>
      <c r="AS51" s="1009"/>
      <c r="AT51" s="1009"/>
      <c r="AU51" s="1009"/>
      <c r="AV51" s="1009"/>
      <c r="AW51" s="1009"/>
      <c r="AX51" s="1009"/>
      <c r="AY51" s="1009"/>
      <c r="AZ51" s="1010"/>
      <c r="BA51" s="356"/>
      <c r="BF51">
        <v>4</v>
      </c>
      <c r="BG51" s="358">
        <f t="shared" si="2"/>
        <v>0.5</v>
      </c>
      <c r="BH51">
        <f t="shared" si="3"/>
        <v>2</v>
      </c>
      <c r="BI51" s="358">
        <f t="shared" si="4"/>
        <v>2</v>
      </c>
    </row>
    <row r="52" spans="1:61" ht="37.5" customHeight="1" thickBot="1">
      <c r="A52" s="1110"/>
      <c r="B52" s="1109"/>
      <c r="C52" s="320">
        <f t="shared" si="5"/>
        <v>45</v>
      </c>
      <c r="D52" s="809" t="s">
        <v>72</v>
      </c>
      <c r="E52" s="214">
        <f>+$E$7</f>
        <v>5517</v>
      </c>
      <c r="F52" s="667">
        <v>53</v>
      </c>
      <c r="G52" s="814">
        <f aca="true" t="shared" si="32" ref="G52:G57">IF(E52="","",ROUND(E52/F52,4))</f>
        <v>104.0943</v>
      </c>
      <c r="H52" s="815">
        <f aca="true" t="shared" si="33" ref="H52:H57">IF(OR(E52="",F52="",F52=0),"",SUM(K52:O52))</f>
        <v>2</v>
      </c>
      <c r="I52" s="812">
        <v>1</v>
      </c>
      <c r="J52" s="813">
        <f t="shared" si="12"/>
        <v>2</v>
      </c>
      <c r="K52" s="738">
        <f>IF($G52&gt;$R52,$K$5,"")</f>
      </c>
      <c r="L52" s="55">
        <f>IF(AND($G52&gt;$T52,$G52&lt;$Q52),$L$5,"")</f>
      </c>
      <c r="M52" s="55">
        <f>IF(AND($G52&gt;$V52,$G52&lt;$S52),$M$5,"")</f>
        <v>2</v>
      </c>
      <c r="N52" s="55">
        <f>IF(AND($G52&gt;$X52,$G52&lt;$U52),$N$5,"")</f>
      </c>
      <c r="O52" s="55">
        <f>IF(AND($G52&gt;Y52,G52&lt;W52),$O$5,"")</f>
      </c>
      <c r="P52" s="56">
        <v>1000</v>
      </c>
      <c r="Q52" s="56">
        <v>150.0001</v>
      </c>
      <c r="R52" s="56">
        <v>150</v>
      </c>
      <c r="S52" s="56">
        <v>125.0001</v>
      </c>
      <c r="T52" s="56">
        <v>125</v>
      </c>
      <c r="U52" s="56">
        <v>100.0001</v>
      </c>
      <c r="V52" s="56">
        <v>100</v>
      </c>
      <c r="W52" s="56">
        <v>80.0001</v>
      </c>
      <c r="X52" s="56">
        <v>80</v>
      </c>
      <c r="Y52" s="56">
        <v>0.0001</v>
      </c>
      <c r="Z52" s="255">
        <f t="shared" si="1"/>
        <v>1</v>
      </c>
      <c r="AA52" s="473" t="s">
        <v>476</v>
      </c>
      <c r="AB52" s="474" t="s">
        <v>220</v>
      </c>
      <c r="AC52" s="889" t="s">
        <v>500</v>
      </c>
      <c r="AD52" s="904" t="s">
        <v>417</v>
      </c>
      <c r="AE52" s="875" t="s">
        <v>500</v>
      </c>
      <c r="AF52" s="348"/>
      <c r="AG52" s="1008" t="s">
        <v>273</v>
      </c>
      <c r="AH52" s="1009"/>
      <c r="AI52" s="1009"/>
      <c r="AJ52" s="1009"/>
      <c r="AK52" s="1009"/>
      <c r="AL52" s="1009"/>
      <c r="AM52" s="1009"/>
      <c r="AN52" s="1009"/>
      <c r="AO52" s="1009"/>
      <c r="AP52" s="1009"/>
      <c r="AQ52" s="1009"/>
      <c r="AR52" s="1009"/>
      <c r="AS52" s="1009"/>
      <c r="AT52" s="1009"/>
      <c r="AU52" s="1009"/>
      <c r="AV52" s="1009"/>
      <c r="AW52" s="1009"/>
      <c r="AX52" s="1009"/>
      <c r="AY52" s="1009"/>
      <c r="AZ52" s="1010"/>
      <c r="BA52" s="356"/>
      <c r="BF52">
        <v>4</v>
      </c>
      <c r="BG52" s="358">
        <f t="shared" si="2"/>
        <v>1</v>
      </c>
      <c r="BH52">
        <f t="shared" si="3"/>
        <v>4</v>
      </c>
      <c r="BI52" s="358">
        <f t="shared" si="4"/>
        <v>2</v>
      </c>
    </row>
    <row r="53" spans="1:61" ht="50.25" customHeight="1" thickBot="1">
      <c r="A53" s="1110"/>
      <c r="B53" s="1109"/>
      <c r="C53" s="320">
        <f t="shared" si="5"/>
        <v>46</v>
      </c>
      <c r="D53" s="809" t="s">
        <v>73</v>
      </c>
      <c r="E53" s="667">
        <v>4278</v>
      </c>
      <c r="F53" s="667">
        <v>13</v>
      </c>
      <c r="G53" s="814">
        <f t="shared" si="32"/>
        <v>329.0769</v>
      </c>
      <c r="H53" s="815">
        <f t="shared" si="33"/>
        <v>0</v>
      </c>
      <c r="I53" s="812">
        <v>0.5</v>
      </c>
      <c r="J53" s="813">
        <f t="shared" si="12"/>
        <v>0</v>
      </c>
      <c r="K53" s="738">
        <f>IF($G53&gt;$R53,$K$5,"")</f>
        <v>0</v>
      </c>
      <c r="L53" s="55">
        <f>IF(AND($G53&gt;$T53,$G53&lt;$Q53),$L$5,"")</f>
      </c>
      <c r="M53" s="55">
        <f>IF(AND($G53&gt;$V53,$G53&lt;$S53),$M$5,"")</f>
      </c>
      <c r="N53" s="55">
        <f>IF(AND($G53&gt;$X53,$G53&lt;$U53),$N$5,"")</f>
      </c>
      <c r="O53" s="55">
        <f>IF(AND($G53&gt;Y53,G53&lt;W53),$O$5,"")</f>
      </c>
      <c r="P53" s="56">
        <v>1000</v>
      </c>
      <c r="Q53" s="56">
        <v>150.0001</v>
      </c>
      <c r="R53" s="56">
        <v>150</v>
      </c>
      <c r="S53" s="56">
        <v>120.0001</v>
      </c>
      <c r="T53" s="56">
        <v>120</v>
      </c>
      <c r="U53" s="56">
        <v>90.0001</v>
      </c>
      <c r="V53" s="56">
        <v>90</v>
      </c>
      <c r="W53" s="56">
        <v>60.0001</v>
      </c>
      <c r="X53" s="56">
        <v>60</v>
      </c>
      <c r="Y53" s="56">
        <v>0.0001</v>
      </c>
      <c r="Z53" s="255">
        <f t="shared" si="1"/>
        <v>1</v>
      </c>
      <c r="AA53" s="473" t="s">
        <v>476</v>
      </c>
      <c r="AB53" s="474" t="s">
        <v>220</v>
      </c>
      <c r="AC53" s="889" t="s">
        <v>500</v>
      </c>
      <c r="AD53" s="904" t="s">
        <v>417</v>
      </c>
      <c r="AE53" s="875" t="s">
        <v>500</v>
      </c>
      <c r="AF53" s="348"/>
      <c r="AG53" s="1008" t="s">
        <v>274</v>
      </c>
      <c r="AH53" s="1009"/>
      <c r="AI53" s="1009"/>
      <c r="AJ53" s="1009"/>
      <c r="AK53" s="1009"/>
      <c r="AL53" s="1009"/>
      <c r="AM53" s="1009"/>
      <c r="AN53" s="1009"/>
      <c r="AO53" s="1009"/>
      <c r="AP53" s="1009"/>
      <c r="AQ53" s="1009"/>
      <c r="AR53" s="1009"/>
      <c r="AS53" s="1009"/>
      <c r="AT53" s="1009"/>
      <c r="AU53" s="1009"/>
      <c r="AV53" s="1009"/>
      <c r="AW53" s="1009"/>
      <c r="AX53" s="1009"/>
      <c r="AY53" s="1009"/>
      <c r="AZ53" s="1010"/>
      <c r="BA53" s="356"/>
      <c r="BF53">
        <v>4</v>
      </c>
      <c r="BG53" s="358">
        <f t="shared" si="2"/>
        <v>0.5</v>
      </c>
      <c r="BH53">
        <f t="shared" si="3"/>
        <v>2</v>
      </c>
      <c r="BI53" s="358">
        <f t="shared" si="4"/>
        <v>0</v>
      </c>
    </row>
    <row r="54" spans="1:61" ht="50.25" customHeight="1" thickBot="1">
      <c r="A54" s="1110"/>
      <c r="B54" s="1109"/>
      <c r="C54" s="320">
        <f t="shared" si="5"/>
        <v>47</v>
      </c>
      <c r="D54" s="809" t="s">
        <v>74</v>
      </c>
      <c r="E54" s="667">
        <v>2800</v>
      </c>
      <c r="F54" s="214">
        <f>+$F$52</f>
        <v>53</v>
      </c>
      <c r="G54" s="814">
        <f t="shared" si="32"/>
        <v>52.8302</v>
      </c>
      <c r="H54" s="815">
        <f t="shared" si="33"/>
        <v>2</v>
      </c>
      <c r="I54" s="812">
        <v>1</v>
      </c>
      <c r="J54" s="813">
        <f t="shared" si="12"/>
        <v>2</v>
      </c>
      <c r="K54" s="739">
        <f>IF($G54&lt;$R54,$K$5,"")</f>
      </c>
      <c r="L54" s="71">
        <f>IF(AND($G54&lt;$T54,$G54&gt;$Q54),$L$5,"")</f>
      </c>
      <c r="M54" s="71">
        <f>IF(AND($G54&lt;$V54,$G54&gt;$S54),$M$5,"")</f>
        <v>2</v>
      </c>
      <c r="N54" s="71">
        <f>IF(AND($G54&lt;$X54,$G54&gt;$U54),$N$5,"")</f>
      </c>
      <c r="O54" s="71">
        <f>IF(AND($G54&lt;Y54,G54&gt;W54),$O$5,"")</f>
      </c>
      <c r="P54" s="10">
        <v>0</v>
      </c>
      <c r="Q54" s="10">
        <v>19.9999</v>
      </c>
      <c r="R54" s="10">
        <v>20</v>
      </c>
      <c r="S54" s="10">
        <v>49.9999</v>
      </c>
      <c r="T54" s="10">
        <v>50</v>
      </c>
      <c r="U54" s="10">
        <v>69.9999</v>
      </c>
      <c r="V54" s="10">
        <v>70</v>
      </c>
      <c r="W54" s="10">
        <v>89.9999</v>
      </c>
      <c r="X54" s="10">
        <v>90</v>
      </c>
      <c r="Y54" s="74">
        <v>10000</v>
      </c>
      <c r="Z54" s="255">
        <f t="shared" si="1"/>
        <v>1</v>
      </c>
      <c r="AA54" s="473" t="s">
        <v>476</v>
      </c>
      <c r="AB54" s="474" t="s">
        <v>220</v>
      </c>
      <c r="AC54" s="889" t="s">
        <v>501</v>
      </c>
      <c r="AD54" s="904" t="s">
        <v>417</v>
      </c>
      <c r="AE54" s="875" t="s">
        <v>500</v>
      </c>
      <c r="AF54" s="348"/>
      <c r="AG54" s="1008" t="s">
        <v>275</v>
      </c>
      <c r="AH54" s="1009"/>
      <c r="AI54" s="1009"/>
      <c r="AJ54" s="1009"/>
      <c r="AK54" s="1009"/>
      <c r="AL54" s="1009"/>
      <c r="AM54" s="1009"/>
      <c r="AN54" s="1009"/>
      <c r="AO54" s="1009"/>
      <c r="AP54" s="1009"/>
      <c r="AQ54" s="1009"/>
      <c r="AR54" s="1009"/>
      <c r="AS54" s="1009"/>
      <c r="AT54" s="1009"/>
      <c r="AU54" s="1009"/>
      <c r="AV54" s="1009"/>
      <c r="AW54" s="1009"/>
      <c r="AX54" s="1009"/>
      <c r="AY54" s="1009"/>
      <c r="AZ54" s="1010"/>
      <c r="BA54" s="356"/>
      <c r="BF54">
        <v>4</v>
      </c>
      <c r="BG54" s="358">
        <f t="shared" si="2"/>
        <v>1</v>
      </c>
      <c r="BH54">
        <f t="shared" si="3"/>
        <v>4</v>
      </c>
      <c r="BI54" s="358">
        <f t="shared" si="4"/>
        <v>2</v>
      </c>
    </row>
    <row r="55" spans="1:61" ht="49.5" customHeight="1" thickBot="1">
      <c r="A55" s="1110"/>
      <c r="B55" s="1109"/>
      <c r="C55" s="320">
        <f t="shared" si="5"/>
        <v>48</v>
      </c>
      <c r="D55" s="809" t="s">
        <v>75</v>
      </c>
      <c r="E55" s="667">
        <v>66</v>
      </c>
      <c r="F55" s="214">
        <f>+$F$52+$F$53</f>
        <v>66</v>
      </c>
      <c r="G55" s="816">
        <f t="shared" si="32"/>
        <v>1</v>
      </c>
      <c r="H55" s="815">
        <f t="shared" si="33"/>
        <v>4</v>
      </c>
      <c r="I55" s="812">
        <v>0.5</v>
      </c>
      <c r="J55" s="813">
        <f t="shared" si="12"/>
        <v>2</v>
      </c>
      <c r="K55" s="740">
        <f>IF($G55&lt;$R55%,$K$5,"")</f>
      </c>
      <c r="L55" s="24">
        <f>IF(AND($G55&lt;$T55%,$G55&gt;$Q55%),$L$5,"")</f>
      </c>
      <c r="M55" s="24">
        <f>IF(AND($G55&lt;$V55%,$G55&gt;$S55%),$M$5,"")</f>
      </c>
      <c r="N55" s="24">
        <f>IF(AND($G55&lt;$X55%,$G55&gt;$U55%),$N$5,"")</f>
      </c>
      <c r="O55" s="24">
        <f>IF(AND($G55&lt;Y55%,G55&gt;W55%),$O$5,"")</f>
        <v>4</v>
      </c>
      <c r="P55" s="75">
        <v>0</v>
      </c>
      <c r="Q55" s="75">
        <v>20</v>
      </c>
      <c r="R55" s="74">
        <v>20.0001</v>
      </c>
      <c r="S55" s="74">
        <v>40</v>
      </c>
      <c r="T55" s="74">
        <v>40.0001</v>
      </c>
      <c r="U55" s="74">
        <v>60</v>
      </c>
      <c r="V55" s="74">
        <v>60.0001</v>
      </c>
      <c r="W55" s="74">
        <v>80</v>
      </c>
      <c r="X55" s="74">
        <v>80.0001</v>
      </c>
      <c r="Y55" s="74">
        <v>10000</v>
      </c>
      <c r="Z55" s="255">
        <f t="shared" si="1"/>
        <v>1</v>
      </c>
      <c r="AA55" s="473" t="s">
        <v>476</v>
      </c>
      <c r="AB55" s="474" t="s">
        <v>220</v>
      </c>
      <c r="AC55" s="889" t="s">
        <v>500</v>
      </c>
      <c r="AD55" s="904" t="s">
        <v>417</v>
      </c>
      <c r="AE55" s="875" t="s">
        <v>500</v>
      </c>
      <c r="AF55" s="348"/>
      <c r="AG55" s="1008" t="s">
        <v>273</v>
      </c>
      <c r="AH55" s="1009"/>
      <c r="AI55" s="1009"/>
      <c r="AJ55" s="1009"/>
      <c r="AK55" s="1009"/>
      <c r="AL55" s="1009"/>
      <c r="AM55" s="1009"/>
      <c r="AN55" s="1009"/>
      <c r="AO55" s="1009"/>
      <c r="AP55" s="1009"/>
      <c r="AQ55" s="1009"/>
      <c r="AR55" s="1009"/>
      <c r="AS55" s="1009"/>
      <c r="AT55" s="1009"/>
      <c r="AU55" s="1009"/>
      <c r="AV55" s="1009"/>
      <c r="AW55" s="1009"/>
      <c r="AX55" s="1009"/>
      <c r="AY55" s="1009"/>
      <c r="AZ55" s="1010"/>
      <c r="BA55" s="357">
        <f>IF(E55&gt;F55,"ERROR INPUT","")</f>
      </c>
      <c r="BF55">
        <v>4</v>
      </c>
      <c r="BG55" s="358">
        <f t="shared" si="2"/>
        <v>0.5</v>
      </c>
      <c r="BH55">
        <f t="shared" si="3"/>
        <v>2</v>
      </c>
      <c r="BI55" s="358">
        <f t="shared" si="4"/>
        <v>2</v>
      </c>
    </row>
    <row r="56" spans="1:61" ht="37.5" customHeight="1" thickBot="1">
      <c r="A56" s="1110"/>
      <c r="B56" s="1109"/>
      <c r="C56" s="320">
        <f t="shared" si="5"/>
        <v>49</v>
      </c>
      <c r="D56" s="809" t="s">
        <v>76</v>
      </c>
      <c r="E56" s="214">
        <f>IF(E10="yes","",+E7-E9)</f>
        <v>4002</v>
      </c>
      <c r="F56" s="667">
        <v>55</v>
      </c>
      <c r="G56" s="814">
        <f t="shared" si="32"/>
        <v>72.7636</v>
      </c>
      <c r="H56" s="815">
        <f t="shared" si="33"/>
        <v>4</v>
      </c>
      <c r="I56" s="812">
        <v>0.5</v>
      </c>
      <c r="J56" s="813">
        <f t="shared" si="12"/>
        <v>2</v>
      </c>
      <c r="K56" s="738">
        <f>IF($G56&gt;$R56,$K$5,"")</f>
      </c>
      <c r="L56" s="55">
        <f>IF(AND($G56&gt;$T56,$G56&lt;$Q56),$L$5,"")</f>
      </c>
      <c r="M56" s="55">
        <f>IF(AND($G56&gt;$V56,$G56&lt;$S56),$M$5,"")</f>
      </c>
      <c r="N56" s="55">
        <f>IF(AND($G56&gt;$X56,$G56&lt;$U56),$N$5,"")</f>
      </c>
      <c r="O56" s="55">
        <f>IF(AND($G56&gt;Y56,G56&lt;W56),$O$5,"")</f>
        <v>4</v>
      </c>
      <c r="P56" s="56">
        <v>1000</v>
      </c>
      <c r="Q56" s="56">
        <v>400.0001</v>
      </c>
      <c r="R56" s="56">
        <v>400</v>
      </c>
      <c r="S56" s="56">
        <v>300.001</v>
      </c>
      <c r="T56" s="56">
        <v>300</v>
      </c>
      <c r="U56" s="56">
        <v>200.001</v>
      </c>
      <c r="V56" s="56">
        <v>200</v>
      </c>
      <c r="W56" s="56">
        <v>100.001</v>
      </c>
      <c r="X56" s="56">
        <v>100</v>
      </c>
      <c r="Y56" s="56">
        <v>0.0001</v>
      </c>
      <c r="Z56" s="255">
        <f t="shared" si="1"/>
        <v>1</v>
      </c>
      <c r="AA56" s="473" t="s">
        <v>476</v>
      </c>
      <c r="AB56" s="474" t="s">
        <v>220</v>
      </c>
      <c r="AC56" s="889" t="s">
        <v>500</v>
      </c>
      <c r="AD56" s="904" t="s">
        <v>417</v>
      </c>
      <c r="AE56" s="875" t="s">
        <v>500</v>
      </c>
      <c r="AF56" s="348"/>
      <c r="AG56" s="1008" t="s">
        <v>276</v>
      </c>
      <c r="AH56" s="1009"/>
      <c r="AI56" s="1009"/>
      <c r="AJ56" s="1009"/>
      <c r="AK56" s="1009"/>
      <c r="AL56" s="1009"/>
      <c r="AM56" s="1009"/>
      <c r="AN56" s="1009"/>
      <c r="AO56" s="1009"/>
      <c r="AP56" s="1009"/>
      <c r="AQ56" s="1009"/>
      <c r="AR56" s="1009"/>
      <c r="AS56" s="1009"/>
      <c r="AT56" s="1009"/>
      <c r="AU56" s="1009"/>
      <c r="AV56" s="1009"/>
      <c r="AW56" s="1009"/>
      <c r="AX56" s="1009"/>
      <c r="AY56" s="1009"/>
      <c r="AZ56" s="1010"/>
      <c r="BA56" s="356"/>
      <c r="BF56">
        <v>4</v>
      </c>
      <c r="BG56" s="358">
        <f t="shared" si="2"/>
        <v>0.5</v>
      </c>
      <c r="BH56">
        <f t="shared" si="3"/>
        <v>2</v>
      </c>
      <c r="BI56" s="358">
        <f t="shared" si="4"/>
        <v>2</v>
      </c>
    </row>
    <row r="57" spans="1:61" ht="37.5" customHeight="1" thickBot="1">
      <c r="A57" s="1110"/>
      <c r="B57" s="1109"/>
      <c r="C57" s="320">
        <f t="shared" si="5"/>
        <v>50</v>
      </c>
      <c r="D57" s="809" t="s">
        <v>77</v>
      </c>
      <c r="E57" s="214">
        <f>IF(E56="",$E$7,+$E$7-E56)</f>
        <v>1515</v>
      </c>
      <c r="F57" s="667">
        <v>16</v>
      </c>
      <c r="G57" s="814">
        <f t="shared" si="32"/>
        <v>94.6875</v>
      </c>
      <c r="H57" s="815">
        <f t="shared" si="33"/>
        <v>3</v>
      </c>
      <c r="I57" s="812">
        <v>0.5</v>
      </c>
      <c r="J57" s="813">
        <f t="shared" si="12"/>
        <v>1.5</v>
      </c>
      <c r="K57" s="738">
        <f>IF($G57&gt;$R57,$K$5,"")</f>
      </c>
      <c r="L57" s="55">
        <f>IF(AND($G57&gt;$T57,$G57&lt;$Q57),$L$5,"")</f>
      </c>
      <c r="M57" s="55">
        <f>IF(AND($G57&gt;$V57,$G57&lt;$S57),$M$5,"")</f>
      </c>
      <c r="N57" s="55">
        <f>IF(AND($G57&gt;$X57,$G57&lt;$U57),$N$5,"")</f>
        <v>3</v>
      </c>
      <c r="O57" s="55">
        <f>IF(AND($G57&gt;Y57,G57&lt;W57),$O$5,"")</f>
      </c>
      <c r="P57" s="56">
        <v>1000</v>
      </c>
      <c r="Q57" s="56">
        <v>200.001</v>
      </c>
      <c r="R57" s="56">
        <v>200</v>
      </c>
      <c r="S57" s="56">
        <v>150.001</v>
      </c>
      <c r="T57" s="56">
        <v>150</v>
      </c>
      <c r="U57" s="56">
        <v>100.001</v>
      </c>
      <c r="V57" s="56">
        <v>100</v>
      </c>
      <c r="W57" s="56">
        <v>50.001</v>
      </c>
      <c r="X57" s="56">
        <v>50</v>
      </c>
      <c r="Y57" s="56">
        <v>0.0001</v>
      </c>
      <c r="Z57" s="255">
        <f t="shared" si="1"/>
        <v>1</v>
      </c>
      <c r="AA57" s="473" t="s">
        <v>476</v>
      </c>
      <c r="AB57" s="474" t="s">
        <v>220</v>
      </c>
      <c r="AC57" s="889" t="s">
        <v>500</v>
      </c>
      <c r="AD57" s="904" t="s">
        <v>417</v>
      </c>
      <c r="AE57" s="875" t="s">
        <v>500</v>
      </c>
      <c r="AF57" s="348"/>
      <c r="AG57" s="1008" t="s">
        <v>276</v>
      </c>
      <c r="AH57" s="1009"/>
      <c r="AI57" s="1009"/>
      <c r="AJ57" s="1009"/>
      <c r="AK57" s="1009"/>
      <c r="AL57" s="1009"/>
      <c r="AM57" s="1009"/>
      <c r="AN57" s="1009"/>
      <c r="AO57" s="1009"/>
      <c r="AP57" s="1009"/>
      <c r="AQ57" s="1009"/>
      <c r="AR57" s="1009"/>
      <c r="AS57" s="1009"/>
      <c r="AT57" s="1009"/>
      <c r="AU57" s="1009"/>
      <c r="AV57" s="1009"/>
      <c r="AW57" s="1009"/>
      <c r="AX57" s="1009"/>
      <c r="AY57" s="1009"/>
      <c r="AZ57" s="1010"/>
      <c r="BA57" s="357"/>
      <c r="BF57">
        <v>4</v>
      </c>
      <c r="BG57" s="358">
        <f t="shared" si="2"/>
        <v>0.5</v>
      </c>
      <c r="BH57">
        <f t="shared" si="3"/>
        <v>2</v>
      </c>
      <c r="BI57" s="358">
        <f t="shared" si="4"/>
        <v>1.5</v>
      </c>
    </row>
    <row r="58" spans="1:61" ht="37.5" customHeight="1" thickBot="1">
      <c r="A58" s="1110"/>
      <c r="B58" s="1109"/>
      <c r="C58" s="320">
        <f t="shared" si="5"/>
        <v>51</v>
      </c>
      <c r="D58" s="809" t="s">
        <v>78</v>
      </c>
      <c r="E58" s="1015" t="s">
        <v>417</v>
      </c>
      <c r="F58" s="1015"/>
      <c r="G58" s="810" t="str">
        <f>+E58</f>
        <v>YES</v>
      </c>
      <c r="H58" s="811">
        <f>IF(E58="","",SUM(K58:O58))</f>
        <v>4</v>
      </c>
      <c r="I58" s="812">
        <v>1</v>
      </c>
      <c r="J58" s="813">
        <f t="shared" si="12"/>
        <v>4</v>
      </c>
      <c r="K58" s="741">
        <f>IF(OR(E58="",E58="NO"),$K$5,"")</f>
      </c>
      <c r="L58" s="58">
        <f>IF(AND($G58&lt;$T58%,$G58&gt;$Q58%),$L$5,"")</f>
      </c>
      <c r="M58" s="58">
        <f>IF(AND($G58&lt;$V58%,$G58&gt;$S58%),$M$5,"")</f>
      </c>
      <c r="N58" s="58">
        <f>IF(AND($G58&lt;$X58%,$G58&gt;$U58%),$N$5,"")</f>
      </c>
      <c r="O58" s="58">
        <f>IF(E58="YES",$O$5,"")</f>
        <v>4</v>
      </c>
      <c r="P58" s="10"/>
      <c r="Q58" s="10"/>
      <c r="R58" s="17"/>
      <c r="S58" s="17"/>
      <c r="T58" s="10"/>
      <c r="U58" s="10"/>
      <c r="V58" s="10"/>
      <c r="W58" s="10"/>
      <c r="X58" s="10"/>
      <c r="Y58" s="10"/>
      <c r="Z58" s="255">
        <f t="shared" si="1"/>
        <v>1</v>
      </c>
      <c r="AA58" s="473" t="s">
        <v>478</v>
      </c>
      <c r="AB58" s="474" t="s">
        <v>220</v>
      </c>
      <c r="AC58" s="889" t="s">
        <v>500</v>
      </c>
      <c r="AD58" s="904" t="s">
        <v>417</v>
      </c>
      <c r="AE58" s="875" t="s">
        <v>500</v>
      </c>
      <c r="AF58" s="348"/>
      <c r="AG58" s="1008" t="s">
        <v>273</v>
      </c>
      <c r="AH58" s="1009"/>
      <c r="AI58" s="1009"/>
      <c r="AJ58" s="1009"/>
      <c r="AK58" s="1009"/>
      <c r="AL58" s="1009"/>
      <c r="AM58" s="1009"/>
      <c r="AN58" s="1009"/>
      <c r="AO58" s="1009"/>
      <c r="AP58" s="1009"/>
      <c r="AQ58" s="1009"/>
      <c r="AR58" s="1009"/>
      <c r="AS58" s="1009"/>
      <c r="AT58" s="1009"/>
      <c r="AU58" s="1009"/>
      <c r="AV58" s="1009"/>
      <c r="AW58" s="1009"/>
      <c r="AX58" s="1009"/>
      <c r="AY58" s="1009"/>
      <c r="AZ58" s="1010"/>
      <c r="BA58" s="356"/>
      <c r="BF58">
        <v>4</v>
      </c>
      <c r="BG58" s="358">
        <f t="shared" si="2"/>
        <v>1</v>
      </c>
      <c r="BH58">
        <f t="shared" si="3"/>
        <v>4</v>
      </c>
      <c r="BI58" s="358">
        <f t="shared" si="4"/>
        <v>4</v>
      </c>
    </row>
    <row r="59" spans="1:61" ht="37.5" customHeight="1" thickBot="1">
      <c r="A59" s="1110"/>
      <c r="B59" s="1109"/>
      <c r="C59" s="320">
        <f t="shared" si="5"/>
        <v>52</v>
      </c>
      <c r="D59" s="809" t="s">
        <v>79</v>
      </c>
      <c r="E59" s="1015" t="s">
        <v>417</v>
      </c>
      <c r="F59" s="1015"/>
      <c r="G59" s="810" t="str">
        <f>+E59</f>
        <v>YES</v>
      </c>
      <c r="H59" s="811">
        <f>IF(E59="","",SUM(K59:O59))</f>
        <v>4</v>
      </c>
      <c r="I59" s="812">
        <v>0.5</v>
      </c>
      <c r="J59" s="813">
        <f t="shared" si="12"/>
        <v>2</v>
      </c>
      <c r="K59" s="741">
        <f>IF(OR(E59="",E59="NO"),$K$5,"")</f>
      </c>
      <c r="L59" s="58">
        <f>IF(AND($G59&lt;$T59%,$G59&gt;$Q59%),$L$5,"")</f>
      </c>
      <c r="M59" s="58">
        <f>IF(AND($G59&lt;$V59%,$G59&gt;$S59%),$M$5,"")</f>
      </c>
      <c r="N59" s="58">
        <f>IF(AND($G59&lt;$X59%,$G59&gt;$U59%),$N$5,"")</f>
      </c>
      <c r="O59" s="58">
        <f>IF(E59="YES",$O$5,"")</f>
        <v>4</v>
      </c>
      <c r="P59" s="10"/>
      <c r="Q59" s="10"/>
      <c r="R59" s="17"/>
      <c r="S59" s="17"/>
      <c r="T59" s="10"/>
      <c r="U59" s="10"/>
      <c r="V59" s="10"/>
      <c r="W59" s="10"/>
      <c r="X59" s="10"/>
      <c r="Y59" s="10"/>
      <c r="Z59" s="255">
        <f t="shared" si="1"/>
        <v>1</v>
      </c>
      <c r="AA59" s="473" t="s">
        <v>476</v>
      </c>
      <c r="AB59" s="474" t="s">
        <v>220</v>
      </c>
      <c r="AC59" s="889" t="s">
        <v>500</v>
      </c>
      <c r="AD59" s="904" t="s">
        <v>417</v>
      </c>
      <c r="AE59" s="875" t="s">
        <v>500</v>
      </c>
      <c r="AF59" s="348"/>
      <c r="AG59" s="1008" t="s">
        <v>273</v>
      </c>
      <c r="AH59" s="1009"/>
      <c r="AI59" s="1009"/>
      <c r="AJ59" s="1009"/>
      <c r="AK59" s="1009"/>
      <c r="AL59" s="1009"/>
      <c r="AM59" s="1009"/>
      <c r="AN59" s="1009"/>
      <c r="AO59" s="1009"/>
      <c r="AP59" s="1009"/>
      <c r="AQ59" s="1009"/>
      <c r="AR59" s="1009"/>
      <c r="AS59" s="1009"/>
      <c r="AT59" s="1009"/>
      <c r="AU59" s="1009"/>
      <c r="AV59" s="1009"/>
      <c r="AW59" s="1009"/>
      <c r="AX59" s="1009"/>
      <c r="AY59" s="1009"/>
      <c r="AZ59" s="1010"/>
      <c r="BA59" s="356"/>
      <c r="BF59">
        <v>4</v>
      </c>
      <c r="BG59" s="358">
        <f t="shared" si="2"/>
        <v>0.5</v>
      </c>
      <c r="BH59">
        <f t="shared" si="3"/>
        <v>2</v>
      </c>
      <c r="BI59" s="358">
        <f t="shared" si="4"/>
        <v>2</v>
      </c>
    </row>
    <row r="60" spans="1:61" ht="63" customHeight="1" thickBot="1">
      <c r="A60" s="1110" t="s">
        <v>15</v>
      </c>
      <c r="B60" s="1109" t="s">
        <v>16</v>
      </c>
      <c r="C60" s="320">
        <f t="shared" si="5"/>
        <v>53</v>
      </c>
      <c r="D60" s="809" t="s">
        <v>80</v>
      </c>
      <c r="E60" s="667">
        <v>12</v>
      </c>
      <c r="F60" s="667">
        <v>19</v>
      </c>
      <c r="G60" s="816">
        <f>IF(E60="","",ROUND(E60/F60,4))</f>
        <v>0.6316</v>
      </c>
      <c r="H60" s="811">
        <f>IF(OR(E60="",F60="",F60=0),"",SUM(K60:O60))</f>
        <v>3</v>
      </c>
      <c r="I60" s="812">
        <v>0.5</v>
      </c>
      <c r="J60" s="813">
        <f t="shared" si="12"/>
        <v>1.5</v>
      </c>
      <c r="K60" s="740">
        <f>IF($G60&lt;$R60%,$K$5,"")</f>
      </c>
      <c r="L60" s="24">
        <f>IF(AND($G60&lt;$T60%,$G60&gt;$Q60%),$L$5,"")</f>
      </c>
      <c r="M60" s="24">
        <f>IF(AND($G60&lt;$V60%,$G60&gt;$S60%),$M$5,"")</f>
      </c>
      <c r="N60" s="24">
        <f>IF(AND($G60&lt;$X60%,$G60&gt;$U60%),$N$5,"")</f>
        <v>3</v>
      </c>
      <c r="O60" s="24">
        <f>IF(AND($G60&lt;Y60%,G60&gt;W60%),$O$5,"")</f>
      </c>
      <c r="P60" s="83">
        <v>0</v>
      </c>
      <c r="Q60" s="83">
        <v>0</v>
      </c>
      <c r="R60" s="84">
        <v>1E-05</v>
      </c>
      <c r="S60" s="74">
        <v>24.9999</v>
      </c>
      <c r="T60" s="74">
        <v>25</v>
      </c>
      <c r="U60" s="74">
        <v>49.9999</v>
      </c>
      <c r="V60" s="74">
        <v>50</v>
      </c>
      <c r="W60" s="74">
        <v>74.9999</v>
      </c>
      <c r="X60" s="74">
        <v>75</v>
      </c>
      <c r="Y60" s="74">
        <v>10000</v>
      </c>
      <c r="Z60" s="255">
        <f t="shared" si="1"/>
        <v>1</v>
      </c>
      <c r="AA60" s="473" t="s">
        <v>476</v>
      </c>
      <c r="AB60" s="474" t="s">
        <v>220</v>
      </c>
      <c r="AC60" s="889" t="s">
        <v>500</v>
      </c>
      <c r="AD60" s="904" t="s">
        <v>417</v>
      </c>
      <c r="AE60" s="875" t="s">
        <v>500</v>
      </c>
      <c r="AF60" s="348"/>
      <c r="AG60" s="1008" t="s">
        <v>273</v>
      </c>
      <c r="AH60" s="1009"/>
      <c r="AI60" s="1009"/>
      <c r="AJ60" s="1009"/>
      <c r="AK60" s="1009"/>
      <c r="AL60" s="1009"/>
      <c r="AM60" s="1009"/>
      <c r="AN60" s="1009"/>
      <c r="AO60" s="1009"/>
      <c r="AP60" s="1009"/>
      <c r="AQ60" s="1009"/>
      <c r="AR60" s="1009"/>
      <c r="AS60" s="1009"/>
      <c r="AT60" s="1009"/>
      <c r="AU60" s="1009"/>
      <c r="AV60" s="1009"/>
      <c r="AW60" s="1009"/>
      <c r="AX60" s="1009"/>
      <c r="AY60" s="1009"/>
      <c r="AZ60" s="1010"/>
      <c r="BA60" s="357">
        <f>IF(E60&gt;F60,"ERROR INPUT","")</f>
      </c>
      <c r="BF60">
        <v>4</v>
      </c>
      <c r="BG60" s="358">
        <f t="shared" si="2"/>
        <v>0.5</v>
      </c>
      <c r="BH60">
        <f t="shared" si="3"/>
        <v>2</v>
      </c>
      <c r="BI60" s="358">
        <f t="shared" si="4"/>
        <v>1.5</v>
      </c>
    </row>
    <row r="61" spans="1:61" ht="37.5" customHeight="1" thickBot="1">
      <c r="A61" s="1110"/>
      <c r="B61" s="1109"/>
      <c r="C61" s="320">
        <f t="shared" si="5"/>
        <v>54</v>
      </c>
      <c r="D61" s="809" t="s">
        <v>81</v>
      </c>
      <c r="E61" s="214">
        <f>+$E$26</f>
        <v>86</v>
      </c>
      <c r="F61" s="667">
        <v>15</v>
      </c>
      <c r="G61" s="814">
        <f>IF(E61="","",ROUND(E61/F61,4))</f>
        <v>5.7333</v>
      </c>
      <c r="H61" s="815">
        <f>IF(OR(E61="",F61="",F61=0),"",SUM(K61:O61))</f>
        <v>4</v>
      </c>
      <c r="I61" s="812">
        <v>0.5</v>
      </c>
      <c r="J61" s="813">
        <f t="shared" si="12"/>
        <v>2</v>
      </c>
      <c r="K61" s="738">
        <f>IF($G61&gt;$R61,$K$5,"")</f>
      </c>
      <c r="L61" s="55">
        <f>IF(AND($G61&gt;$T61,$G61&lt;$Q61),$L$5,"")</f>
      </c>
      <c r="M61" s="55">
        <f>IF(AND($G61&gt;$V61,$G61&lt;$S61),$M$5,"")</f>
      </c>
      <c r="N61" s="55">
        <f>IF(AND($G61&gt;$X61,$G61&lt;$U61),$N$5,"")</f>
      </c>
      <c r="O61" s="55">
        <f>IF(AND($G61&gt;Y61,G61&lt;W61),$O$5,"")</f>
        <v>4</v>
      </c>
      <c r="P61" s="56">
        <v>1000</v>
      </c>
      <c r="Q61" s="56">
        <v>80.0001</v>
      </c>
      <c r="R61" s="56">
        <v>80</v>
      </c>
      <c r="S61" s="56">
        <v>60.0001</v>
      </c>
      <c r="T61" s="56">
        <v>60</v>
      </c>
      <c r="U61" s="56">
        <v>40.0001</v>
      </c>
      <c r="V61" s="56">
        <v>40</v>
      </c>
      <c r="W61" s="56">
        <v>20.0001</v>
      </c>
      <c r="X61" s="56">
        <v>20</v>
      </c>
      <c r="Y61" s="56">
        <v>0.0001</v>
      </c>
      <c r="Z61" s="255">
        <f t="shared" si="1"/>
        <v>1</v>
      </c>
      <c r="AA61" s="473" t="s">
        <v>476</v>
      </c>
      <c r="AB61" s="474" t="s">
        <v>220</v>
      </c>
      <c r="AC61" s="889" t="s">
        <v>500</v>
      </c>
      <c r="AD61" s="904" t="s">
        <v>417</v>
      </c>
      <c r="AE61" s="875" t="s">
        <v>500</v>
      </c>
      <c r="AF61" s="348"/>
      <c r="AG61" s="1008" t="s">
        <v>273</v>
      </c>
      <c r="AH61" s="1009"/>
      <c r="AI61" s="1009"/>
      <c r="AJ61" s="1009"/>
      <c r="AK61" s="1009"/>
      <c r="AL61" s="1009"/>
      <c r="AM61" s="1009"/>
      <c r="AN61" s="1009"/>
      <c r="AO61" s="1009"/>
      <c r="AP61" s="1009"/>
      <c r="AQ61" s="1009"/>
      <c r="AR61" s="1009"/>
      <c r="AS61" s="1009"/>
      <c r="AT61" s="1009"/>
      <c r="AU61" s="1009"/>
      <c r="AV61" s="1009"/>
      <c r="AW61" s="1009"/>
      <c r="AX61" s="1009"/>
      <c r="AY61" s="1009"/>
      <c r="AZ61" s="1010"/>
      <c r="BA61" s="356"/>
      <c r="BF61">
        <v>4</v>
      </c>
      <c r="BG61" s="358">
        <f t="shared" si="2"/>
        <v>0.5</v>
      </c>
      <c r="BH61">
        <f t="shared" si="3"/>
        <v>2</v>
      </c>
      <c r="BI61" s="358">
        <f t="shared" si="4"/>
        <v>2</v>
      </c>
    </row>
    <row r="62" spans="1:61" ht="37.5" customHeight="1" thickBot="1">
      <c r="A62" s="1110"/>
      <c r="B62" s="1109"/>
      <c r="C62" s="320">
        <f t="shared" si="5"/>
        <v>55</v>
      </c>
      <c r="D62" s="809" t="s">
        <v>82</v>
      </c>
      <c r="E62" s="1015">
        <v>77</v>
      </c>
      <c r="F62" s="1015"/>
      <c r="G62" s="810">
        <f aca="true" t="shared" si="34" ref="G62:G69">+E62</f>
        <v>77</v>
      </c>
      <c r="H62" s="815">
        <f aca="true" t="shared" si="35" ref="H62:H69">IF(E62="","",SUM(K62:O62))</f>
        <v>4</v>
      </c>
      <c r="I62" s="812">
        <v>0.5</v>
      </c>
      <c r="J62" s="813">
        <f t="shared" si="12"/>
        <v>2</v>
      </c>
      <c r="K62" s="742">
        <f>IF($E62&lt;$R62,$K$5,"")</f>
      </c>
      <c r="L62" s="85">
        <f>IF(AND($E62&lt;$T62,$E62&gt;$Q62),$L$5,"")</f>
      </c>
      <c r="M62" s="85">
        <f>IF(AND($E62&lt;$V62,$E62&gt;$S62),$M$5,"")</f>
      </c>
      <c r="N62" s="85">
        <f>IF(AND($E62&lt;$X62,$E62&gt;$U62),$N$5,"")</f>
      </c>
      <c r="O62" s="85">
        <f>IF(AND($E62&lt;Y62,E62&gt;W62),$O$5,"")</f>
        <v>4</v>
      </c>
      <c r="P62" s="10">
        <v>0</v>
      </c>
      <c r="Q62" s="10">
        <v>0</v>
      </c>
      <c r="R62" s="10">
        <v>1</v>
      </c>
      <c r="S62" s="10">
        <v>5</v>
      </c>
      <c r="T62" s="10">
        <v>6</v>
      </c>
      <c r="U62" s="10">
        <v>10</v>
      </c>
      <c r="V62" s="10">
        <v>11</v>
      </c>
      <c r="W62" s="10">
        <v>20</v>
      </c>
      <c r="X62" s="10">
        <v>21</v>
      </c>
      <c r="Y62" s="74">
        <v>10000</v>
      </c>
      <c r="Z62" s="255">
        <f t="shared" si="1"/>
        <v>1</v>
      </c>
      <c r="AA62" s="473" t="s">
        <v>476</v>
      </c>
      <c r="AB62" s="474" t="s">
        <v>220</v>
      </c>
      <c r="AC62" s="889" t="s">
        <v>500</v>
      </c>
      <c r="AD62" s="904" t="s">
        <v>417</v>
      </c>
      <c r="AE62" s="875" t="s">
        <v>500</v>
      </c>
      <c r="AF62" s="348"/>
      <c r="AG62" s="1008" t="s">
        <v>276</v>
      </c>
      <c r="AH62" s="1009"/>
      <c r="AI62" s="1009"/>
      <c r="AJ62" s="1009"/>
      <c r="AK62" s="1009"/>
      <c r="AL62" s="1009"/>
      <c r="AM62" s="1009"/>
      <c r="AN62" s="1009"/>
      <c r="AO62" s="1009"/>
      <c r="AP62" s="1009"/>
      <c r="AQ62" s="1009"/>
      <c r="AR62" s="1009"/>
      <c r="AS62" s="1009"/>
      <c r="AT62" s="1009"/>
      <c r="AU62" s="1009"/>
      <c r="AV62" s="1009"/>
      <c r="AW62" s="1009"/>
      <c r="AX62" s="1009"/>
      <c r="AY62" s="1009"/>
      <c r="AZ62" s="1010"/>
      <c r="BA62" s="356"/>
      <c r="BF62">
        <v>4</v>
      </c>
      <c r="BG62" s="358">
        <f t="shared" si="2"/>
        <v>0.5</v>
      </c>
      <c r="BH62">
        <f t="shared" si="3"/>
        <v>2</v>
      </c>
      <c r="BI62" s="358">
        <f t="shared" si="4"/>
        <v>2</v>
      </c>
    </row>
    <row r="63" spans="1:61" ht="50.25" customHeight="1" thickBot="1">
      <c r="A63" s="1110"/>
      <c r="B63" s="1109"/>
      <c r="C63" s="320">
        <f t="shared" si="5"/>
        <v>56</v>
      </c>
      <c r="D63" s="809" t="s">
        <v>83</v>
      </c>
      <c r="E63" s="1015" t="s">
        <v>417</v>
      </c>
      <c r="F63" s="1015"/>
      <c r="G63" s="810" t="str">
        <f t="shared" si="34"/>
        <v>YES</v>
      </c>
      <c r="H63" s="811">
        <f t="shared" si="35"/>
        <v>4</v>
      </c>
      <c r="I63" s="812">
        <v>0.5</v>
      </c>
      <c r="J63" s="813">
        <f t="shared" si="12"/>
        <v>2</v>
      </c>
      <c r="K63" s="741">
        <f>IF(OR(E63="",E63="NO"),$K$5,"")</f>
      </c>
      <c r="L63" s="58">
        <f>IF(AND($G63&lt;$T63%,$G63&gt;$Q63%),$L$5,"")</f>
      </c>
      <c r="M63" s="58">
        <f>IF(AND($G63&lt;$V63%,$G63&gt;$S63%),$M$5,"")</f>
      </c>
      <c r="N63" s="58">
        <f>IF(AND($G63&lt;$X63%,$G63&gt;$U63%),$N$5,"")</f>
      </c>
      <c r="O63" s="58">
        <f>IF(E63="YES",$O$5,"")</f>
        <v>4</v>
      </c>
      <c r="P63" s="10"/>
      <c r="Q63" s="10"/>
      <c r="R63" s="17"/>
      <c r="S63" s="17"/>
      <c r="T63" s="10"/>
      <c r="U63" s="10"/>
      <c r="V63" s="10"/>
      <c r="W63" s="10"/>
      <c r="X63" s="10"/>
      <c r="Y63" s="10"/>
      <c r="Z63" s="255">
        <f t="shared" si="1"/>
        <v>1</v>
      </c>
      <c r="AA63" s="473" t="s">
        <v>476</v>
      </c>
      <c r="AB63" s="474" t="s">
        <v>220</v>
      </c>
      <c r="AC63" s="889" t="s">
        <v>500</v>
      </c>
      <c r="AD63" s="904" t="s">
        <v>417</v>
      </c>
      <c r="AE63" s="875" t="s">
        <v>500</v>
      </c>
      <c r="AF63" s="348"/>
      <c r="AG63" s="1008" t="s">
        <v>273</v>
      </c>
      <c r="AH63" s="1009"/>
      <c r="AI63" s="1009"/>
      <c r="AJ63" s="1009"/>
      <c r="AK63" s="1009"/>
      <c r="AL63" s="1009"/>
      <c r="AM63" s="1009"/>
      <c r="AN63" s="1009"/>
      <c r="AO63" s="1009"/>
      <c r="AP63" s="1009"/>
      <c r="AQ63" s="1009"/>
      <c r="AR63" s="1009"/>
      <c r="AS63" s="1009"/>
      <c r="AT63" s="1009"/>
      <c r="AU63" s="1009"/>
      <c r="AV63" s="1009"/>
      <c r="AW63" s="1009"/>
      <c r="AX63" s="1009"/>
      <c r="AY63" s="1009"/>
      <c r="AZ63" s="1010"/>
      <c r="BA63" s="356"/>
      <c r="BF63">
        <v>4</v>
      </c>
      <c r="BG63" s="358">
        <f t="shared" si="2"/>
        <v>0.5</v>
      </c>
      <c r="BH63">
        <f t="shared" si="3"/>
        <v>2</v>
      </c>
      <c r="BI63" s="358">
        <f t="shared" si="4"/>
        <v>2</v>
      </c>
    </row>
    <row r="64" spans="1:61" ht="51" customHeight="1" thickBot="1">
      <c r="A64" s="1110"/>
      <c r="B64" s="1109"/>
      <c r="C64" s="320">
        <f t="shared" si="5"/>
        <v>57</v>
      </c>
      <c r="D64" s="809" t="s">
        <v>84</v>
      </c>
      <c r="E64" s="1015" t="s">
        <v>417</v>
      </c>
      <c r="F64" s="1015"/>
      <c r="G64" s="810" t="str">
        <f t="shared" si="34"/>
        <v>YES</v>
      </c>
      <c r="H64" s="811">
        <f t="shared" si="35"/>
        <v>4</v>
      </c>
      <c r="I64" s="812">
        <v>1</v>
      </c>
      <c r="J64" s="813">
        <f t="shared" si="12"/>
        <v>4</v>
      </c>
      <c r="K64" s="741">
        <f>IF(OR(E64="",E64="NO"),$K$5,"")</f>
      </c>
      <c r="L64" s="58">
        <f>IF(AND($G64&lt;$T64%,$G64&gt;$Q64%),$L$5,"")</f>
      </c>
      <c r="M64" s="58">
        <f>IF(AND($G64&lt;$V64%,$G64&gt;$S64%),$M$5,"")</f>
      </c>
      <c r="N64" s="58">
        <f>IF(AND($G64&lt;$X64%,$G64&gt;$U64%),$N$5,"")</f>
      </c>
      <c r="O64" s="58">
        <f>IF(E64="YES",$O$5,"")</f>
        <v>4</v>
      </c>
      <c r="P64" s="10"/>
      <c r="Q64" s="10"/>
      <c r="R64" s="17"/>
      <c r="S64" s="17"/>
      <c r="T64" s="10"/>
      <c r="U64" s="10"/>
      <c r="V64" s="10"/>
      <c r="W64" s="10"/>
      <c r="X64" s="10"/>
      <c r="Y64" s="10"/>
      <c r="Z64" s="255">
        <f t="shared" si="1"/>
        <v>1</v>
      </c>
      <c r="AA64" s="473" t="s">
        <v>476</v>
      </c>
      <c r="AB64" s="474" t="s">
        <v>220</v>
      </c>
      <c r="AC64" s="889" t="s">
        <v>479</v>
      </c>
      <c r="AD64" s="904" t="s">
        <v>417</v>
      </c>
      <c r="AE64" s="875" t="s">
        <v>500</v>
      </c>
      <c r="AF64" s="348"/>
      <c r="AG64" s="1008" t="s">
        <v>277</v>
      </c>
      <c r="AH64" s="1009"/>
      <c r="AI64" s="1009"/>
      <c r="AJ64" s="1009"/>
      <c r="AK64" s="1009"/>
      <c r="AL64" s="1009"/>
      <c r="AM64" s="1009"/>
      <c r="AN64" s="1009"/>
      <c r="AO64" s="1009"/>
      <c r="AP64" s="1009"/>
      <c r="AQ64" s="1009"/>
      <c r="AR64" s="1009"/>
      <c r="AS64" s="1009"/>
      <c r="AT64" s="1009"/>
      <c r="AU64" s="1009"/>
      <c r="AV64" s="1009"/>
      <c r="AW64" s="1009"/>
      <c r="AX64" s="1009"/>
      <c r="AY64" s="1009"/>
      <c r="AZ64" s="1010"/>
      <c r="BA64" s="356"/>
      <c r="BF64">
        <v>4</v>
      </c>
      <c r="BG64" s="358">
        <f t="shared" si="2"/>
        <v>1</v>
      </c>
      <c r="BH64">
        <f t="shared" si="3"/>
        <v>4</v>
      </c>
      <c r="BI64" s="358">
        <f t="shared" si="4"/>
        <v>4</v>
      </c>
    </row>
    <row r="65" spans="1:61" ht="41.25" customHeight="1" thickBot="1">
      <c r="A65" s="1110"/>
      <c r="B65" s="1109"/>
      <c r="C65" s="320">
        <f t="shared" si="5"/>
        <v>58</v>
      </c>
      <c r="D65" s="809" t="s">
        <v>85</v>
      </c>
      <c r="E65" s="1015" t="s">
        <v>417</v>
      </c>
      <c r="F65" s="1015"/>
      <c r="G65" s="810" t="str">
        <f t="shared" si="34"/>
        <v>YES</v>
      </c>
      <c r="H65" s="811">
        <f t="shared" si="35"/>
        <v>4</v>
      </c>
      <c r="I65" s="812">
        <v>0.5</v>
      </c>
      <c r="J65" s="813">
        <f t="shared" si="12"/>
        <v>2</v>
      </c>
      <c r="K65" s="741">
        <f>IF(OR(E65="",E65="NO"),$K$5,"")</f>
      </c>
      <c r="L65" s="58">
        <f>IF(AND($G65&lt;$T65%,$G65&gt;$Q65%),$L$5,"")</f>
      </c>
      <c r="M65" s="58">
        <f>IF(AND($G65&lt;$V65%,$G65&gt;$S65%),$M$5,"")</f>
      </c>
      <c r="N65" s="58">
        <f>IF(AND($G65&lt;$X65%,$G65&gt;$U65%),$N$5,"")</f>
      </c>
      <c r="O65" s="58">
        <f>IF(E65="YES",$O$5,"")</f>
        <v>4</v>
      </c>
      <c r="P65" s="10"/>
      <c r="Q65" s="10"/>
      <c r="R65" s="17"/>
      <c r="S65" s="17"/>
      <c r="T65" s="10"/>
      <c r="U65" s="10"/>
      <c r="V65" s="10"/>
      <c r="W65" s="10"/>
      <c r="X65" s="10"/>
      <c r="Y65" s="10"/>
      <c r="Z65" s="255">
        <f t="shared" si="1"/>
        <v>1</v>
      </c>
      <c r="AA65" s="473" t="s">
        <v>476</v>
      </c>
      <c r="AB65" s="474" t="s">
        <v>220</v>
      </c>
      <c r="AC65" s="889" t="s">
        <v>500</v>
      </c>
      <c r="AD65" s="904" t="s">
        <v>417</v>
      </c>
      <c r="AE65" s="875" t="s">
        <v>500</v>
      </c>
      <c r="AF65" s="348"/>
      <c r="AG65" s="1008" t="s">
        <v>278</v>
      </c>
      <c r="AH65" s="1009"/>
      <c r="AI65" s="1009"/>
      <c r="AJ65" s="1009"/>
      <c r="AK65" s="1009"/>
      <c r="AL65" s="1009"/>
      <c r="AM65" s="1009"/>
      <c r="AN65" s="1009"/>
      <c r="AO65" s="1009"/>
      <c r="AP65" s="1009"/>
      <c r="AQ65" s="1009"/>
      <c r="AR65" s="1009"/>
      <c r="AS65" s="1009"/>
      <c r="AT65" s="1009"/>
      <c r="AU65" s="1009"/>
      <c r="AV65" s="1009"/>
      <c r="AW65" s="1009"/>
      <c r="AX65" s="1009"/>
      <c r="AY65" s="1009"/>
      <c r="AZ65" s="1010"/>
      <c r="BA65" s="356"/>
      <c r="BF65">
        <v>4</v>
      </c>
      <c r="BG65" s="358">
        <f t="shared" si="2"/>
        <v>0.5</v>
      </c>
      <c r="BH65">
        <f t="shared" si="3"/>
        <v>2</v>
      </c>
      <c r="BI65" s="358">
        <f t="shared" si="4"/>
        <v>2</v>
      </c>
    </row>
    <row r="66" spans="1:61" ht="37.5" customHeight="1" thickBot="1">
      <c r="A66" s="1110"/>
      <c r="B66" s="1109"/>
      <c r="C66" s="320">
        <f t="shared" si="5"/>
        <v>59</v>
      </c>
      <c r="D66" s="809" t="s">
        <v>86</v>
      </c>
      <c r="E66" s="1015" t="s">
        <v>417</v>
      </c>
      <c r="F66" s="1015"/>
      <c r="G66" s="810" t="str">
        <f t="shared" si="34"/>
        <v>YES</v>
      </c>
      <c r="H66" s="811">
        <f t="shared" si="35"/>
        <v>4</v>
      </c>
      <c r="I66" s="812">
        <v>0.5</v>
      </c>
      <c r="J66" s="813">
        <f t="shared" si="12"/>
        <v>2</v>
      </c>
      <c r="K66" s="741">
        <f>IF(OR(E66="",E66="NO"),$K$5,"")</f>
      </c>
      <c r="L66" s="58">
        <f>IF(AND($G66&lt;$T66%,$G66&gt;$Q66%),$L$5,"")</f>
      </c>
      <c r="M66" s="58">
        <f>IF(AND($G66&lt;$V66%,$G66&gt;$S66%),$M$5,"")</f>
      </c>
      <c r="N66" s="58">
        <f>IF(AND($G66&lt;$X66%,$G66&gt;$U66%),$N$5,"")</f>
      </c>
      <c r="O66" s="58">
        <f>IF(E66="YES",$O$5,"")</f>
        <v>4</v>
      </c>
      <c r="P66" s="10"/>
      <c r="Q66" s="10"/>
      <c r="R66" s="17"/>
      <c r="S66" s="17"/>
      <c r="T66" s="10"/>
      <c r="U66" s="10"/>
      <c r="V66" s="10"/>
      <c r="W66" s="10"/>
      <c r="X66" s="10"/>
      <c r="Y66" s="10"/>
      <c r="Z66" s="255">
        <f t="shared" si="1"/>
        <v>1</v>
      </c>
      <c r="AA66" s="473" t="s">
        <v>476</v>
      </c>
      <c r="AB66" s="474" t="s">
        <v>220</v>
      </c>
      <c r="AC66" s="889" t="s">
        <v>500</v>
      </c>
      <c r="AD66" s="904" t="s">
        <v>417</v>
      </c>
      <c r="AE66" s="875" t="s">
        <v>500</v>
      </c>
      <c r="AF66" s="348"/>
      <c r="AG66" s="1008" t="s">
        <v>279</v>
      </c>
      <c r="AH66" s="1009"/>
      <c r="AI66" s="1009"/>
      <c r="AJ66" s="1009"/>
      <c r="AK66" s="1009"/>
      <c r="AL66" s="1009"/>
      <c r="AM66" s="1009"/>
      <c r="AN66" s="1009"/>
      <c r="AO66" s="1009"/>
      <c r="AP66" s="1009"/>
      <c r="AQ66" s="1009"/>
      <c r="AR66" s="1009"/>
      <c r="AS66" s="1009"/>
      <c r="AT66" s="1009"/>
      <c r="AU66" s="1009"/>
      <c r="AV66" s="1009"/>
      <c r="AW66" s="1009"/>
      <c r="AX66" s="1009"/>
      <c r="AY66" s="1009"/>
      <c r="AZ66" s="1010"/>
      <c r="BA66" s="356"/>
      <c r="BF66">
        <v>4</v>
      </c>
      <c r="BG66" s="358">
        <f t="shared" si="2"/>
        <v>0.5</v>
      </c>
      <c r="BH66">
        <f t="shared" si="3"/>
        <v>2</v>
      </c>
      <c r="BI66" s="358">
        <f t="shared" si="4"/>
        <v>2</v>
      </c>
    </row>
    <row r="67" spans="1:61" ht="37.5" customHeight="1" thickBot="1">
      <c r="A67" s="1110"/>
      <c r="B67" s="1109"/>
      <c r="C67" s="320">
        <f t="shared" si="5"/>
        <v>60</v>
      </c>
      <c r="D67" s="809" t="s">
        <v>87</v>
      </c>
      <c r="E67" s="1015" t="s">
        <v>417</v>
      </c>
      <c r="F67" s="1015"/>
      <c r="G67" s="810" t="str">
        <f t="shared" si="34"/>
        <v>YES</v>
      </c>
      <c r="H67" s="811">
        <f t="shared" si="35"/>
        <v>4</v>
      </c>
      <c r="I67" s="812">
        <v>0.5</v>
      </c>
      <c r="J67" s="813">
        <f t="shared" si="12"/>
        <v>2</v>
      </c>
      <c r="K67" s="741">
        <f>IF(OR(E67="",E67="NO"),$K$5,"")</f>
      </c>
      <c r="L67" s="58">
        <f>IF(AND($G67&lt;$T67%,$G67&gt;$Q67%),$L$5,"")</f>
      </c>
      <c r="M67" s="58">
        <f>IF(AND($G67&lt;$V67%,$G67&gt;$S67%),$M$5,"")</f>
      </c>
      <c r="N67" s="58">
        <f>IF(AND($G67&lt;$X67%,$G67&gt;$U67%),$N$5,"")</f>
      </c>
      <c r="O67" s="58">
        <f>IF(E67="YES",$O$5,"")</f>
        <v>4</v>
      </c>
      <c r="P67" s="10"/>
      <c r="Q67" s="10"/>
      <c r="R67" s="17"/>
      <c r="S67" s="17"/>
      <c r="T67" s="10"/>
      <c r="U67" s="10"/>
      <c r="V67" s="10"/>
      <c r="W67" s="10"/>
      <c r="X67" s="10"/>
      <c r="Y67" s="10"/>
      <c r="Z67" s="255">
        <f t="shared" si="1"/>
        <v>1</v>
      </c>
      <c r="AA67" s="473" t="s">
        <v>476</v>
      </c>
      <c r="AB67" s="474" t="s">
        <v>220</v>
      </c>
      <c r="AC67" s="889" t="s">
        <v>500</v>
      </c>
      <c r="AD67" s="904" t="s">
        <v>417</v>
      </c>
      <c r="AE67" s="875" t="s">
        <v>500</v>
      </c>
      <c r="AF67" s="348"/>
      <c r="AG67" s="1008" t="s">
        <v>280</v>
      </c>
      <c r="AH67" s="1009"/>
      <c r="AI67" s="1009"/>
      <c r="AJ67" s="1009"/>
      <c r="AK67" s="1009"/>
      <c r="AL67" s="1009"/>
      <c r="AM67" s="1009"/>
      <c r="AN67" s="1009"/>
      <c r="AO67" s="1009"/>
      <c r="AP67" s="1009"/>
      <c r="AQ67" s="1009"/>
      <c r="AR67" s="1009"/>
      <c r="AS67" s="1009"/>
      <c r="AT67" s="1009"/>
      <c r="AU67" s="1009"/>
      <c r="AV67" s="1009"/>
      <c r="AW67" s="1009"/>
      <c r="AX67" s="1009"/>
      <c r="AY67" s="1009"/>
      <c r="AZ67" s="1010"/>
      <c r="BA67" s="356"/>
      <c r="BF67">
        <v>4</v>
      </c>
      <c r="BG67" s="358">
        <f t="shared" si="2"/>
        <v>0.5</v>
      </c>
      <c r="BH67">
        <f t="shared" si="3"/>
        <v>2</v>
      </c>
      <c r="BI67" s="358">
        <f t="shared" si="4"/>
        <v>2</v>
      </c>
    </row>
    <row r="68" spans="1:61" ht="37.5" customHeight="1" thickBot="1">
      <c r="A68" s="1110"/>
      <c r="B68" s="1109"/>
      <c r="C68" s="320">
        <f t="shared" si="5"/>
        <v>61</v>
      </c>
      <c r="D68" s="809" t="s">
        <v>88</v>
      </c>
      <c r="E68" s="1015">
        <v>10</v>
      </c>
      <c r="F68" s="1015"/>
      <c r="G68" s="810">
        <f t="shared" si="34"/>
        <v>10</v>
      </c>
      <c r="H68" s="815">
        <f t="shared" si="35"/>
        <v>4</v>
      </c>
      <c r="I68" s="812">
        <v>0.5</v>
      </c>
      <c r="J68" s="813">
        <f t="shared" si="12"/>
        <v>2</v>
      </c>
      <c r="K68" s="742">
        <f>IF($E68&lt;$R68,$K$5,"")</f>
      </c>
      <c r="L68" s="85">
        <f>IF(AND($E68&lt;$T68,$E68&gt;$Q68),$L$5,"")</f>
      </c>
      <c r="M68" s="85">
        <f>IF(AND($E68&lt;$V68,$E68&gt;$S68),$M$5,"")</f>
      </c>
      <c r="N68" s="85">
        <f>IF(AND($E68&lt;$X68,$E68&gt;$U68),$N$5,"")</f>
      </c>
      <c r="O68" s="85">
        <f>IF(AND($E68&lt;Y68,E68&gt;W68),$O$5,"")</f>
        <v>4</v>
      </c>
      <c r="P68" s="10">
        <v>0</v>
      </c>
      <c r="Q68" s="10">
        <v>0</v>
      </c>
      <c r="R68" s="10">
        <v>1</v>
      </c>
      <c r="S68" s="10">
        <v>1</v>
      </c>
      <c r="T68" s="10">
        <v>2</v>
      </c>
      <c r="U68" s="10">
        <v>2</v>
      </c>
      <c r="V68" s="10">
        <v>3</v>
      </c>
      <c r="W68" s="10">
        <v>3</v>
      </c>
      <c r="X68" s="10">
        <v>4</v>
      </c>
      <c r="Y68" s="74">
        <v>10000</v>
      </c>
      <c r="Z68" s="255">
        <f t="shared" si="1"/>
        <v>1</v>
      </c>
      <c r="AA68" s="473" t="s">
        <v>476</v>
      </c>
      <c r="AB68" s="474" t="s">
        <v>220</v>
      </c>
      <c r="AC68" s="889" t="s">
        <v>500</v>
      </c>
      <c r="AD68" s="904" t="s">
        <v>417</v>
      </c>
      <c r="AE68" s="875" t="s">
        <v>500</v>
      </c>
      <c r="AF68" s="348"/>
      <c r="AG68" s="1008" t="s">
        <v>281</v>
      </c>
      <c r="AH68" s="1009"/>
      <c r="AI68" s="1009"/>
      <c r="AJ68" s="1009"/>
      <c r="AK68" s="1009"/>
      <c r="AL68" s="1009"/>
      <c r="AM68" s="1009"/>
      <c r="AN68" s="1009"/>
      <c r="AO68" s="1009"/>
      <c r="AP68" s="1009"/>
      <c r="AQ68" s="1009"/>
      <c r="AR68" s="1009"/>
      <c r="AS68" s="1009"/>
      <c r="AT68" s="1009"/>
      <c r="AU68" s="1009"/>
      <c r="AV68" s="1009"/>
      <c r="AW68" s="1009"/>
      <c r="AX68" s="1009"/>
      <c r="AY68" s="1009"/>
      <c r="AZ68" s="1010"/>
      <c r="BA68" s="356"/>
      <c r="BF68">
        <v>4</v>
      </c>
      <c r="BG68" s="358">
        <f t="shared" si="2"/>
        <v>0.5</v>
      </c>
      <c r="BH68">
        <f t="shared" si="3"/>
        <v>2</v>
      </c>
      <c r="BI68" s="358">
        <f t="shared" si="4"/>
        <v>2</v>
      </c>
    </row>
    <row r="69" spans="1:61" ht="37.5" customHeight="1" thickBot="1">
      <c r="A69" s="1110" t="s">
        <v>15</v>
      </c>
      <c r="B69" s="1109" t="s">
        <v>16</v>
      </c>
      <c r="C69" s="320">
        <f t="shared" si="5"/>
        <v>62</v>
      </c>
      <c r="D69" s="809" t="s">
        <v>89</v>
      </c>
      <c r="E69" s="1015" t="s">
        <v>417</v>
      </c>
      <c r="F69" s="1015"/>
      <c r="G69" s="810" t="str">
        <f t="shared" si="34"/>
        <v>YES</v>
      </c>
      <c r="H69" s="811">
        <f t="shared" si="35"/>
        <v>4</v>
      </c>
      <c r="I69" s="812">
        <v>0.5</v>
      </c>
      <c r="J69" s="813">
        <f t="shared" si="12"/>
        <v>2</v>
      </c>
      <c r="K69" s="741">
        <f>IF(OR(E69="",E69="NO"),$K$5,"")</f>
      </c>
      <c r="L69" s="58">
        <f aca="true" t="shared" si="36" ref="L69:L78">IF(AND($G69&lt;$T69%,$G69&gt;$Q69%),$L$5,"")</f>
      </c>
      <c r="M69" s="58">
        <f aca="true" t="shared" si="37" ref="M69:M78">IF(AND($G69&lt;$V69%,$G69&gt;$S69%),$M$5,"")</f>
      </c>
      <c r="N69" s="58">
        <f aca="true" t="shared" si="38" ref="N69:N78">IF(AND($G69&lt;$X69%,$G69&gt;$U69%),$N$5,"")</f>
      </c>
      <c r="O69" s="58">
        <f>IF(E69="YES",$O$5,"")</f>
        <v>4</v>
      </c>
      <c r="P69" s="10"/>
      <c r="Q69" s="10"/>
      <c r="R69" s="17"/>
      <c r="S69" s="17"/>
      <c r="T69" s="10"/>
      <c r="U69" s="10"/>
      <c r="V69" s="10"/>
      <c r="W69" s="10"/>
      <c r="X69" s="10"/>
      <c r="Y69" s="10"/>
      <c r="Z69" s="255">
        <f t="shared" si="1"/>
        <v>1</v>
      </c>
      <c r="AA69" s="473" t="s">
        <v>476</v>
      </c>
      <c r="AB69" s="474" t="s">
        <v>220</v>
      </c>
      <c r="AC69" s="889" t="s">
        <v>500</v>
      </c>
      <c r="AD69" s="904" t="s">
        <v>417</v>
      </c>
      <c r="AE69" s="875" t="s">
        <v>500</v>
      </c>
      <c r="AF69" s="348"/>
      <c r="AG69" s="1008" t="s">
        <v>282</v>
      </c>
      <c r="AH69" s="1009"/>
      <c r="AI69" s="1009"/>
      <c r="AJ69" s="1009"/>
      <c r="AK69" s="1009"/>
      <c r="AL69" s="1009"/>
      <c r="AM69" s="1009"/>
      <c r="AN69" s="1009"/>
      <c r="AO69" s="1009"/>
      <c r="AP69" s="1009"/>
      <c r="AQ69" s="1009"/>
      <c r="AR69" s="1009"/>
      <c r="AS69" s="1009"/>
      <c r="AT69" s="1009"/>
      <c r="AU69" s="1009"/>
      <c r="AV69" s="1009"/>
      <c r="AW69" s="1009"/>
      <c r="AX69" s="1009"/>
      <c r="AY69" s="1009"/>
      <c r="AZ69" s="1010"/>
      <c r="BA69" s="356"/>
      <c r="BF69">
        <v>4</v>
      </c>
      <c r="BG69" s="358">
        <f t="shared" si="2"/>
        <v>0.5</v>
      </c>
      <c r="BH69">
        <f t="shared" si="3"/>
        <v>2</v>
      </c>
      <c r="BI69" s="358">
        <f t="shared" si="4"/>
        <v>2</v>
      </c>
    </row>
    <row r="70" spans="1:61" ht="81" customHeight="1" thickBot="1">
      <c r="A70" s="1110"/>
      <c r="B70" s="1109"/>
      <c r="C70" s="320">
        <f t="shared" si="5"/>
        <v>63</v>
      </c>
      <c r="D70" s="809" t="s">
        <v>90</v>
      </c>
      <c r="E70" s="907">
        <v>33.75</v>
      </c>
      <c r="F70" s="907">
        <v>73.54</v>
      </c>
      <c r="G70" s="816">
        <f>IF(E70="","",ROUND(E70/F70,4))</f>
        <v>0.4589</v>
      </c>
      <c r="H70" s="811">
        <f>IF(OR(E70="",F70="",F70=0),"",SUM(K70:O70))</f>
        <v>2</v>
      </c>
      <c r="I70" s="812">
        <v>0.5</v>
      </c>
      <c r="J70" s="813">
        <f t="shared" si="12"/>
        <v>1</v>
      </c>
      <c r="K70" s="740">
        <f>IF($G70&lt;$R70%,$K$5,"")</f>
      </c>
      <c r="L70" s="24">
        <f t="shared" si="36"/>
      </c>
      <c r="M70" s="24">
        <f t="shared" si="37"/>
        <v>2</v>
      </c>
      <c r="N70" s="24">
        <f t="shared" si="38"/>
      </c>
      <c r="O70" s="24">
        <f>IF(AND($G70&lt;Y70%,G70&gt;W70%),$O$5,"")</f>
      </c>
      <c r="P70" s="75">
        <v>0</v>
      </c>
      <c r="Q70" s="75">
        <v>20</v>
      </c>
      <c r="R70" s="74">
        <v>20.0001</v>
      </c>
      <c r="S70" s="74">
        <v>40</v>
      </c>
      <c r="T70" s="74">
        <v>40.0001</v>
      </c>
      <c r="U70" s="74">
        <v>60</v>
      </c>
      <c r="V70" s="74">
        <v>60.0001</v>
      </c>
      <c r="W70" s="74">
        <v>80</v>
      </c>
      <c r="X70" s="74">
        <v>80.0001</v>
      </c>
      <c r="Y70" s="74">
        <v>10000</v>
      </c>
      <c r="Z70" s="255">
        <f t="shared" si="1"/>
        <v>1</v>
      </c>
      <c r="AA70" s="473" t="s">
        <v>476</v>
      </c>
      <c r="AB70" s="474" t="s">
        <v>220</v>
      </c>
      <c r="AC70" s="889" t="s">
        <v>480</v>
      </c>
      <c r="AD70" s="904" t="s">
        <v>417</v>
      </c>
      <c r="AE70" s="875" t="s">
        <v>500</v>
      </c>
      <c r="AF70" s="348"/>
      <c r="AG70" s="1093" t="s">
        <v>283</v>
      </c>
      <c r="AH70" s="1094"/>
      <c r="AI70" s="1094"/>
      <c r="AJ70" s="1094"/>
      <c r="AK70" s="1094"/>
      <c r="AL70" s="1094"/>
      <c r="AM70" s="1094"/>
      <c r="AN70" s="1094"/>
      <c r="AO70" s="1094"/>
      <c r="AP70" s="1094"/>
      <c r="AQ70" s="1094"/>
      <c r="AR70" s="1094"/>
      <c r="AS70" s="1094"/>
      <c r="AT70" s="1094"/>
      <c r="AU70" s="1094"/>
      <c r="AV70" s="1094"/>
      <c r="AW70" s="1094"/>
      <c r="AX70" s="1094"/>
      <c r="AY70" s="1094"/>
      <c r="AZ70" s="1095"/>
      <c r="BA70" s="356"/>
      <c r="BF70">
        <v>4</v>
      </c>
      <c r="BG70" s="358">
        <f t="shared" si="2"/>
        <v>0.5</v>
      </c>
      <c r="BH70">
        <f t="shared" si="3"/>
        <v>2</v>
      </c>
      <c r="BI70" s="358">
        <f t="shared" si="4"/>
        <v>1</v>
      </c>
    </row>
    <row r="71" spans="1:63" ht="68.25" customHeight="1" thickBot="1">
      <c r="A71" s="1110"/>
      <c r="B71" s="1109"/>
      <c r="C71" s="320">
        <f t="shared" si="5"/>
        <v>64</v>
      </c>
      <c r="D71" s="809" t="s">
        <v>91</v>
      </c>
      <c r="E71" s="907" t="s">
        <v>417</v>
      </c>
      <c r="F71" s="907"/>
      <c r="G71" s="810" t="str">
        <f>+E71</f>
        <v>YES</v>
      </c>
      <c r="H71" s="811">
        <f>IF(E71="","",SUM(K71:O71))</f>
        <v>4</v>
      </c>
      <c r="I71" s="812">
        <v>0.5</v>
      </c>
      <c r="J71" s="813">
        <f t="shared" si="12"/>
        <v>2</v>
      </c>
      <c r="K71" s="741">
        <f>IF(OR(E71="",E71="NO"),$K$5,"")</f>
      </c>
      <c r="L71" s="58">
        <f t="shared" si="36"/>
      </c>
      <c r="M71" s="58">
        <f t="shared" si="37"/>
      </c>
      <c r="N71" s="58">
        <f t="shared" si="38"/>
      </c>
      <c r="O71" s="58">
        <f>IF(E71="YES",$O$5,"")</f>
        <v>4</v>
      </c>
      <c r="P71" s="10"/>
      <c r="Q71" s="10"/>
      <c r="R71" s="17"/>
      <c r="S71" s="17"/>
      <c r="T71" s="10"/>
      <c r="U71" s="10"/>
      <c r="V71" s="10"/>
      <c r="W71" s="10"/>
      <c r="X71" s="10"/>
      <c r="Y71" s="10"/>
      <c r="Z71" s="255">
        <f t="shared" si="1"/>
        <v>1</v>
      </c>
      <c r="AA71" s="475" t="s">
        <v>476</v>
      </c>
      <c r="AB71" s="476" t="s">
        <v>220</v>
      </c>
      <c r="AC71" s="889" t="s">
        <v>500</v>
      </c>
      <c r="AD71" s="904" t="s">
        <v>417</v>
      </c>
      <c r="AE71" s="875" t="s">
        <v>500</v>
      </c>
      <c r="AF71" s="348"/>
      <c r="AG71" s="1008" t="s">
        <v>273</v>
      </c>
      <c r="AH71" s="1009"/>
      <c r="AI71" s="1009"/>
      <c r="AJ71" s="1009"/>
      <c r="AK71" s="1009"/>
      <c r="AL71" s="1009"/>
      <c r="AM71" s="1009"/>
      <c r="AN71" s="1009"/>
      <c r="AO71" s="1009"/>
      <c r="AP71" s="1009"/>
      <c r="AQ71" s="1009"/>
      <c r="AR71" s="1009"/>
      <c r="AS71" s="1009"/>
      <c r="AT71" s="1009"/>
      <c r="AU71" s="1009"/>
      <c r="AV71" s="1009"/>
      <c r="AW71" s="1009"/>
      <c r="AX71" s="1009"/>
      <c r="AY71" s="1009"/>
      <c r="AZ71" s="1010"/>
      <c r="BA71" s="356"/>
      <c r="BF71">
        <v>4</v>
      </c>
      <c r="BG71" s="358">
        <f t="shared" si="2"/>
        <v>0.5</v>
      </c>
      <c r="BH71">
        <f t="shared" si="3"/>
        <v>2</v>
      </c>
      <c r="BI71" s="358">
        <f t="shared" si="4"/>
        <v>2</v>
      </c>
      <c r="BJ71" s="358">
        <f>SUM(BH51:BH71)</f>
        <v>50</v>
      </c>
      <c r="BK71" s="358">
        <f>SUM(BI51:BI71)</f>
        <v>42</v>
      </c>
    </row>
    <row r="72" spans="1:61" ht="75.75" customHeight="1" thickBot="1">
      <c r="A72" s="1110"/>
      <c r="B72" s="1038" t="s">
        <v>17</v>
      </c>
      <c r="C72" s="321">
        <f t="shared" si="5"/>
        <v>65</v>
      </c>
      <c r="D72" s="817" t="s">
        <v>92</v>
      </c>
      <c r="E72" s="668">
        <v>27</v>
      </c>
      <c r="F72" s="668">
        <v>34</v>
      </c>
      <c r="G72" s="818">
        <f>IF(E72="","",ROUND(E72/F72,4))</f>
        <v>0.7941</v>
      </c>
      <c r="H72" s="819">
        <f>IF(OR(E72="",F72="",F72=0),"",SUM(K72:O72))</f>
        <v>3</v>
      </c>
      <c r="I72" s="820">
        <v>1</v>
      </c>
      <c r="J72" s="821">
        <f t="shared" si="12"/>
        <v>3</v>
      </c>
      <c r="K72" s="743">
        <f>IF($G72&lt;$R72%,$K$5,"")</f>
      </c>
      <c r="L72" s="25">
        <f t="shared" si="36"/>
      </c>
      <c r="M72" s="25">
        <f t="shared" si="37"/>
      </c>
      <c r="N72" s="25">
        <f t="shared" si="38"/>
        <v>3</v>
      </c>
      <c r="O72" s="25">
        <f>IF(AND($G72&lt;Y72%,G72&gt;W72%),$O$5,"")</f>
      </c>
      <c r="P72" s="86">
        <v>0</v>
      </c>
      <c r="Q72" s="86">
        <v>20</v>
      </c>
      <c r="R72" s="77">
        <v>20.0001</v>
      </c>
      <c r="S72" s="77">
        <v>40</v>
      </c>
      <c r="T72" s="77">
        <v>40.0001</v>
      </c>
      <c r="U72" s="77">
        <v>60</v>
      </c>
      <c r="V72" s="77">
        <v>60.0001</v>
      </c>
      <c r="W72" s="77">
        <v>80</v>
      </c>
      <c r="X72" s="77">
        <v>80.0001</v>
      </c>
      <c r="Y72" s="241">
        <v>10000</v>
      </c>
      <c r="Z72" s="255">
        <f aca="true" t="shared" si="39" ref="Z72:Z135">IF(AD72="YES",1,0)*IF(BA72="ERROR INPUT",0,1)*(IF(AE72="NOT VERIFIED",0,1))</f>
        <v>1</v>
      </c>
      <c r="AA72" s="478" t="s">
        <v>481</v>
      </c>
      <c r="AB72" s="479" t="s">
        <v>220</v>
      </c>
      <c r="AC72" s="890" t="s">
        <v>482</v>
      </c>
      <c r="AD72" s="904" t="s">
        <v>417</v>
      </c>
      <c r="AE72" s="875" t="s">
        <v>498</v>
      </c>
      <c r="AF72" s="348"/>
      <c r="AG72" s="1008" t="s">
        <v>252</v>
      </c>
      <c r="AH72" s="1009"/>
      <c r="AI72" s="1009"/>
      <c r="AJ72" s="1009"/>
      <c r="AK72" s="1009"/>
      <c r="AL72" s="1009"/>
      <c r="AM72" s="1009"/>
      <c r="AN72" s="1009"/>
      <c r="AO72" s="1009"/>
      <c r="AP72" s="1009"/>
      <c r="AQ72" s="1009"/>
      <c r="AR72" s="1009"/>
      <c r="AS72" s="1009"/>
      <c r="AT72" s="1009"/>
      <c r="AU72" s="1009"/>
      <c r="AV72" s="1009"/>
      <c r="AW72" s="1009"/>
      <c r="AX72" s="1009"/>
      <c r="AY72" s="1009"/>
      <c r="AZ72" s="1010"/>
      <c r="BA72" s="357">
        <f>IF(E72&gt;F72,"ERROR INPUT","")</f>
      </c>
      <c r="BF72">
        <v>4</v>
      </c>
      <c r="BG72" s="358">
        <f aca="true" t="shared" si="40" ref="BG72:BG135">+I72</f>
        <v>1</v>
      </c>
      <c r="BH72">
        <f aca="true" t="shared" si="41" ref="BH72:BH135">+BF72*BG72</f>
        <v>4</v>
      </c>
      <c r="BI72" s="358">
        <f aca="true" t="shared" si="42" ref="BI72:BI135">IF(J72="",0,+J72)</f>
        <v>3</v>
      </c>
    </row>
    <row r="73" spans="1:61" ht="75.75" customHeight="1" thickBot="1">
      <c r="A73" s="1110"/>
      <c r="B73" s="1038"/>
      <c r="C73" s="321">
        <f t="shared" si="5"/>
        <v>66</v>
      </c>
      <c r="D73" s="817" t="s">
        <v>93</v>
      </c>
      <c r="E73" s="668">
        <v>26</v>
      </c>
      <c r="F73" s="668">
        <v>36</v>
      </c>
      <c r="G73" s="818">
        <f>IF(E73="","",ROUND(E73/F73,4))</f>
        <v>0.7222</v>
      </c>
      <c r="H73" s="819">
        <f>IF(OR(E73="",F73="",F73=0),"",SUM(K73:O73))</f>
        <v>3</v>
      </c>
      <c r="I73" s="820">
        <v>1</v>
      </c>
      <c r="J73" s="821">
        <f t="shared" si="12"/>
        <v>3</v>
      </c>
      <c r="K73" s="743">
        <f>IF($G73&lt;$R73%,$K$5,"")</f>
      </c>
      <c r="L73" s="25">
        <f t="shared" si="36"/>
      </c>
      <c r="M73" s="25">
        <f t="shared" si="37"/>
      </c>
      <c r="N73" s="25">
        <f t="shared" si="38"/>
        <v>3</v>
      </c>
      <c r="O73" s="25">
        <f>IF(AND($G73&lt;Y73%,G73&gt;W73%),$O$5,"")</f>
      </c>
      <c r="P73" s="86">
        <v>0</v>
      </c>
      <c r="Q73" s="86">
        <v>20</v>
      </c>
      <c r="R73" s="77">
        <v>20.0001</v>
      </c>
      <c r="S73" s="77">
        <v>40</v>
      </c>
      <c r="T73" s="77">
        <v>40.0001</v>
      </c>
      <c r="U73" s="77">
        <v>60</v>
      </c>
      <c r="V73" s="77">
        <v>60.0001</v>
      </c>
      <c r="W73" s="77">
        <v>80</v>
      </c>
      <c r="X73" s="77">
        <v>80.0001</v>
      </c>
      <c r="Y73" s="241">
        <v>10000</v>
      </c>
      <c r="Z73" s="255">
        <f t="shared" si="39"/>
        <v>1</v>
      </c>
      <c r="AA73" s="478" t="s">
        <v>481</v>
      </c>
      <c r="AB73" s="479" t="s">
        <v>220</v>
      </c>
      <c r="AC73" s="890" t="s">
        <v>482</v>
      </c>
      <c r="AD73" s="904" t="s">
        <v>417</v>
      </c>
      <c r="AE73" s="875" t="s">
        <v>498</v>
      </c>
      <c r="AF73" s="348"/>
      <c r="AG73" s="1096" t="s">
        <v>252</v>
      </c>
      <c r="AH73" s="1097"/>
      <c r="AI73" s="1097"/>
      <c r="AJ73" s="1097"/>
      <c r="AK73" s="1097"/>
      <c r="AL73" s="1097"/>
      <c r="AM73" s="1097"/>
      <c r="AN73" s="1097"/>
      <c r="AO73" s="1097"/>
      <c r="AP73" s="1097"/>
      <c r="AQ73" s="1097"/>
      <c r="AR73" s="1097"/>
      <c r="AS73" s="1097"/>
      <c r="AT73" s="1097"/>
      <c r="AU73" s="1097"/>
      <c r="AV73" s="1097"/>
      <c r="AW73" s="1097"/>
      <c r="AX73" s="1097"/>
      <c r="AY73" s="1097"/>
      <c r="AZ73" s="1098"/>
      <c r="BA73" s="357">
        <f>IF(E73&gt;F73,"ERROR INPUT","")</f>
      </c>
      <c r="BF73">
        <v>4</v>
      </c>
      <c r="BG73" s="358">
        <f t="shared" si="40"/>
        <v>1</v>
      </c>
      <c r="BH73">
        <f t="shared" si="41"/>
        <v>4</v>
      </c>
      <c r="BI73" s="358">
        <f t="shared" si="42"/>
        <v>3</v>
      </c>
    </row>
    <row r="74" spans="1:63" ht="47.25" customHeight="1" thickBot="1">
      <c r="A74" s="1110"/>
      <c r="B74" s="1038"/>
      <c r="C74" s="321">
        <f aca="true" t="shared" si="43" ref="C74:C137">1+C73</f>
        <v>67</v>
      </c>
      <c r="D74" s="817" t="s">
        <v>94</v>
      </c>
      <c r="E74" s="1016" t="s">
        <v>417</v>
      </c>
      <c r="F74" s="1016"/>
      <c r="G74" s="822" t="str">
        <f>+E74</f>
        <v>YES</v>
      </c>
      <c r="H74" s="819">
        <f>IF(E74="","",SUM(K74:O74))</f>
        <v>4</v>
      </c>
      <c r="I74" s="820">
        <v>0.5</v>
      </c>
      <c r="J74" s="821">
        <f t="shared" si="12"/>
        <v>2</v>
      </c>
      <c r="K74" s="744">
        <f>IF(OR(E74="",E74="NO"),$K$5,"")</f>
      </c>
      <c r="L74" s="60">
        <f t="shared" si="36"/>
      </c>
      <c r="M74" s="60">
        <f t="shared" si="37"/>
      </c>
      <c r="N74" s="60">
        <f t="shared" si="38"/>
      </c>
      <c r="O74" s="60">
        <f>IF(E74="YES",$O$5,"")</f>
        <v>4</v>
      </c>
      <c r="P74" s="11"/>
      <c r="Q74" s="11"/>
      <c r="R74" s="61"/>
      <c r="S74" s="61"/>
      <c r="T74" s="11"/>
      <c r="U74" s="11"/>
      <c r="V74" s="11"/>
      <c r="W74" s="11"/>
      <c r="X74" s="11"/>
      <c r="Y74" s="242"/>
      <c r="Z74" s="255">
        <f t="shared" si="39"/>
        <v>1</v>
      </c>
      <c r="AA74" s="478" t="s">
        <v>481</v>
      </c>
      <c r="AB74" s="479" t="s">
        <v>220</v>
      </c>
      <c r="AC74" s="890" t="s">
        <v>482</v>
      </c>
      <c r="AD74" s="904" t="s">
        <v>417</v>
      </c>
      <c r="AE74" s="875" t="s">
        <v>498</v>
      </c>
      <c r="AF74" s="348"/>
      <c r="AG74" s="1096" t="s">
        <v>271</v>
      </c>
      <c r="AH74" s="1097"/>
      <c r="AI74" s="1097"/>
      <c r="AJ74" s="1097"/>
      <c r="AK74" s="1097"/>
      <c r="AL74" s="1097"/>
      <c r="AM74" s="1097"/>
      <c r="AN74" s="1097"/>
      <c r="AO74" s="1097"/>
      <c r="AP74" s="1097"/>
      <c r="AQ74" s="1097"/>
      <c r="AR74" s="1097"/>
      <c r="AS74" s="1097"/>
      <c r="AT74" s="1097"/>
      <c r="AU74" s="1097"/>
      <c r="AV74" s="1097"/>
      <c r="AW74" s="1097"/>
      <c r="AX74" s="1097"/>
      <c r="AY74" s="1097"/>
      <c r="AZ74" s="1098"/>
      <c r="BA74" s="356"/>
      <c r="BF74">
        <v>4</v>
      </c>
      <c r="BG74" s="358">
        <f t="shared" si="40"/>
        <v>0.5</v>
      </c>
      <c r="BH74">
        <f t="shared" si="41"/>
        <v>2</v>
      </c>
      <c r="BI74" s="358">
        <f t="shared" si="42"/>
        <v>2</v>
      </c>
      <c r="BJ74" s="358">
        <f>SUM(BH72:BH74)</f>
        <v>10</v>
      </c>
      <c r="BK74" s="358">
        <f>SUM(BI72:BI74)</f>
        <v>8</v>
      </c>
    </row>
    <row r="75" spans="1:61" ht="37.5" customHeight="1" thickBot="1">
      <c r="A75" s="1013" t="s">
        <v>18</v>
      </c>
      <c r="B75" s="1039" t="s">
        <v>19</v>
      </c>
      <c r="C75" s="322">
        <f t="shared" si="43"/>
        <v>68</v>
      </c>
      <c r="D75" s="823" t="s">
        <v>95</v>
      </c>
      <c r="E75" s="1017" t="s">
        <v>417</v>
      </c>
      <c r="F75" s="1017"/>
      <c r="G75" s="824" t="str">
        <f>+E75</f>
        <v>YES</v>
      </c>
      <c r="H75" s="825">
        <f>IF(E75="","",SUM(K75:O75))</f>
        <v>4</v>
      </c>
      <c r="I75" s="826">
        <v>0.5</v>
      </c>
      <c r="J75" s="827">
        <f aca="true" t="shared" si="44" ref="J75:J137">IF(H75="","",+H75*I75*Z75)</f>
        <v>2</v>
      </c>
      <c r="K75" s="745">
        <f>IF(OR(E75="",E75="NO"),$K$5,"")</f>
      </c>
      <c r="L75" s="65">
        <f t="shared" si="36"/>
      </c>
      <c r="M75" s="65">
        <f t="shared" si="37"/>
      </c>
      <c r="N75" s="65">
        <f t="shared" si="38"/>
      </c>
      <c r="O75" s="65">
        <f>IF(E75="YES",$O$5,"")</f>
        <v>4</v>
      </c>
      <c r="P75" s="12"/>
      <c r="Q75" s="12"/>
      <c r="R75" s="18"/>
      <c r="S75" s="18"/>
      <c r="T75" s="12"/>
      <c r="U75" s="12"/>
      <c r="V75" s="12"/>
      <c r="W75" s="12"/>
      <c r="X75" s="12"/>
      <c r="Y75" s="243"/>
      <c r="Z75" s="255">
        <f t="shared" si="39"/>
        <v>1</v>
      </c>
      <c r="AA75" s="480" t="s">
        <v>488</v>
      </c>
      <c r="AB75" s="481" t="s">
        <v>220</v>
      </c>
      <c r="AC75" s="891" t="s">
        <v>418</v>
      </c>
      <c r="AD75" s="904" t="s">
        <v>417</v>
      </c>
      <c r="AE75" s="875" t="s">
        <v>500</v>
      </c>
      <c r="AF75" s="348"/>
      <c r="AG75" s="1096" t="s">
        <v>273</v>
      </c>
      <c r="AH75" s="1097"/>
      <c r="AI75" s="1097"/>
      <c r="AJ75" s="1097"/>
      <c r="AK75" s="1097"/>
      <c r="AL75" s="1097"/>
      <c r="AM75" s="1097"/>
      <c r="AN75" s="1097"/>
      <c r="AO75" s="1097"/>
      <c r="AP75" s="1097"/>
      <c r="AQ75" s="1097"/>
      <c r="AR75" s="1097"/>
      <c r="AS75" s="1097"/>
      <c r="AT75" s="1097"/>
      <c r="AU75" s="1097"/>
      <c r="AV75" s="1097"/>
      <c r="AW75" s="1097"/>
      <c r="AX75" s="1097"/>
      <c r="AY75" s="1097"/>
      <c r="AZ75" s="1098"/>
      <c r="BA75" s="356"/>
      <c r="BF75">
        <v>4</v>
      </c>
      <c r="BG75" s="358">
        <f t="shared" si="40"/>
        <v>0.5</v>
      </c>
      <c r="BH75">
        <f t="shared" si="41"/>
        <v>2</v>
      </c>
      <c r="BI75" s="358">
        <f t="shared" si="42"/>
        <v>2</v>
      </c>
    </row>
    <row r="76" spans="1:61" ht="37.5" customHeight="1" thickBot="1">
      <c r="A76" s="1013"/>
      <c r="B76" s="1039"/>
      <c r="C76" s="322">
        <f t="shared" si="43"/>
        <v>69</v>
      </c>
      <c r="D76" s="823" t="s">
        <v>96</v>
      </c>
      <c r="E76" s="1017" t="s">
        <v>417</v>
      </c>
      <c r="F76" s="1017"/>
      <c r="G76" s="824" t="str">
        <f>+E76</f>
        <v>YES</v>
      </c>
      <c r="H76" s="825">
        <f>IF(E76="","",SUM(K76:O76))</f>
        <v>4</v>
      </c>
      <c r="I76" s="826">
        <v>0.25</v>
      </c>
      <c r="J76" s="827">
        <f t="shared" si="44"/>
        <v>1</v>
      </c>
      <c r="K76" s="745">
        <f>IF(OR(E76="",E76="NO"),$K$5,"")</f>
      </c>
      <c r="L76" s="65">
        <f t="shared" si="36"/>
      </c>
      <c r="M76" s="65">
        <f t="shared" si="37"/>
      </c>
      <c r="N76" s="65">
        <f t="shared" si="38"/>
      </c>
      <c r="O76" s="65">
        <f>IF(E76="YES",$O$5,"")</f>
        <v>4</v>
      </c>
      <c r="P76" s="12"/>
      <c r="Q76" s="12"/>
      <c r="R76" s="18"/>
      <c r="S76" s="18"/>
      <c r="T76" s="12"/>
      <c r="U76" s="12"/>
      <c r="V76" s="12"/>
      <c r="W76" s="12"/>
      <c r="X76" s="12"/>
      <c r="Y76" s="243"/>
      <c r="Z76" s="255">
        <f t="shared" si="39"/>
        <v>1</v>
      </c>
      <c r="AA76" s="480" t="s">
        <v>488</v>
      </c>
      <c r="AB76" s="481" t="s">
        <v>220</v>
      </c>
      <c r="AC76" s="891" t="s">
        <v>419</v>
      </c>
      <c r="AD76" s="904" t="s">
        <v>417</v>
      </c>
      <c r="AE76" s="875" t="s">
        <v>498</v>
      </c>
      <c r="AF76" s="348"/>
      <c r="AG76" s="1096" t="s">
        <v>271</v>
      </c>
      <c r="AH76" s="1097"/>
      <c r="AI76" s="1097"/>
      <c r="AJ76" s="1097"/>
      <c r="AK76" s="1097"/>
      <c r="AL76" s="1097"/>
      <c r="AM76" s="1097"/>
      <c r="AN76" s="1097"/>
      <c r="AO76" s="1097"/>
      <c r="AP76" s="1097"/>
      <c r="AQ76" s="1097"/>
      <c r="AR76" s="1097"/>
      <c r="AS76" s="1097"/>
      <c r="AT76" s="1097"/>
      <c r="AU76" s="1097"/>
      <c r="AV76" s="1097"/>
      <c r="AW76" s="1097"/>
      <c r="AX76" s="1097"/>
      <c r="AY76" s="1097"/>
      <c r="AZ76" s="1098"/>
      <c r="BA76" s="356"/>
      <c r="BF76">
        <v>4</v>
      </c>
      <c r="BG76" s="358">
        <f t="shared" si="40"/>
        <v>0.25</v>
      </c>
      <c r="BH76">
        <f t="shared" si="41"/>
        <v>1</v>
      </c>
      <c r="BI76" s="358">
        <f t="shared" si="42"/>
        <v>1</v>
      </c>
    </row>
    <row r="77" spans="1:61" ht="37.5" customHeight="1" thickBot="1">
      <c r="A77" s="1013"/>
      <c r="B77" s="1039"/>
      <c r="C77" s="322">
        <f t="shared" si="43"/>
        <v>70</v>
      </c>
      <c r="D77" s="823" t="s">
        <v>97</v>
      </c>
      <c r="E77" s="1017" t="s">
        <v>417</v>
      </c>
      <c r="F77" s="1017"/>
      <c r="G77" s="824" t="str">
        <f>+E77</f>
        <v>YES</v>
      </c>
      <c r="H77" s="825">
        <f>IF(E77="","",SUM(K77:O77))</f>
        <v>4</v>
      </c>
      <c r="I77" s="826">
        <v>0.25</v>
      </c>
      <c r="J77" s="827">
        <f t="shared" si="44"/>
        <v>1</v>
      </c>
      <c r="K77" s="745">
        <f>IF(OR(E77="",E77="NO"),$K$5,"")</f>
      </c>
      <c r="L77" s="65">
        <f t="shared" si="36"/>
      </c>
      <c r="M77" s="65">
        <f t="shared" si="37"/>
      </c>
      <c r="N77" s="65">
        <f t="shared" si="38"/>
      </c>
      <c r="O77" s="65">
        <f>IF(E77="YES",$O$5,"")</f>
        <v>4</v>
      </c>
      <c r="P77" s="12"/>
      <c r="Q77" s="12"/>
      <c r="R77" s="18"/>
      <c r="S77" s="18"/>
      <c r="T77" s="12"/>
      <c r="U77" s="12"/>
      <c r="V77" s="12"/>
      <c r="W77" s="12"/>
      <c r="X77" s="12"/>
      <c r="Y77" s="243"/>
      <c r="Z77" s="255">
        <f t="shared" si="39"/>
        <v>1</v>
      </c>
      <c r="AA77" s="480" t="s">
        <v>488</v>
      </c>
      <c r="AB77" s="481" t="s">
        <v>220</v>
      </c>
      <c r="AC77" s="891" t="s">
        <v>420</v>
      </c>
      <c r="AD77" s="904" t="s">
        <v>417</v>
      </c>
      <c r="AE77" s="875" t="s">
        <v>500</v>
      </c>
      <c r="AF77" s="348"/>
      <c r="AG77" s="1096" t="s">
        <v>284</v>
      </c>
      <c r="AH77" s="1097"/>
      <c r="AI77" s="1097"/>
      <c r="AJ77" s="1097"/>
      <c r="AK77" s="1097"/>
      <c r="AL77" s="1097"/>
      <c r="AM77" s="1097"/>
      <c r="AN77" s="1097"/>
      <c r="AO77" s="1097"/>
      <c r="AP77" s="1097"/>
      <c r="AQ77" s="1097"/>
      <c r="AR77" s="1097"/>
      <c r="AS77" s="1097"/>
      <c r="AT77" s="1097"/>
      <c r="AU77" s="1097"/>
      <c r="AV77" s="1097"/>
      <c r="AW77" s="1097"/>
      <c r="AX77" s="1097"/>
      <c r="AY77" s="1097"/>
      <c r="AZ77" s="1098"/>
      <c r="BA77" s="356"/>
      <c r="BF77">
        <v>4</v>
      </c>
      <c r="BG77" s="358">
        <f t="shared" si="40"/>
        <v>0.25</v>
      </c>
      <c r="BH77">
        <f t="shared" si="41"/>
        <v>1</v>
      </c>
      <c r="BI77" s="358">
        <f t="shared" si="42"/>
        <v>1</v>
      </c>
    </row>
    <row r="78" spans="1:61" ht="48" customHeight="1" thickBot="1">
      <c r="A78" s="1013"/>
      <c r="B78" s="1039"/>
      <c r="C78" s="322">
        <f t="shared" si="43"/>
        <v>71</v>
      </c>
      <c r="D78" s="823" t="s">
        <v>98</v>
      </c>
      <c r="E78" s="669">
        <v>2</v>
      </c>
      <c r="F78" s="669">
        <v>6</v>
      </c>
      <c r="G78" s="828">
        <f>IF(E78="","",ROUND(E78/F78,4))</f>
        <v>0.3333</v>
      </c>
      <c r="H78" s="825">
        <f>IF(OR(E78="",F78="",F78=0),"",SUM(K78:O78))</f>
        <v>1</v>
      </c>
      <c r="I78" s="826">
        <v>0.25</v>
      </c>
      <c r="J78" s="827">
        <f t="shared" si="44"/>
        <v>0.25</v>
      </c>
      <c r="K78" s="746">
        <f>IF($G78&lt;$R78%,$K$5,"")</f>
      </c>
      <c r="L78" s="26">
        <f t="shared" si="36"/>
        <v>1</v>
      </c>
      <c r="M78" s="26">
        <f t="shared" si="37"/>
      </c>
      <c r="N78" s="26">
        <f t="shared" si="38"/>
      </c>
      <c r="O78" s="26">
        <f>IF(AND($G78&lt;Y78%,G78&gt;W78%),$O$5,"")</f>
      </c>
      <c r="P78" s="87">
        <v>0</v>
      </c>
      <c r="Q78" s="87">
        <v>20</v>
      </c>
      <c r="R78" s="88">
        <v>20.0001</v>
      </c>
      <c r="S78" s="88">
        <v>40</v>
      </c>
      <c r="T78" s="88">
        <v>40.0001</v>
      </c>
      <c r="U78" s="88">
        <v>60</v>
      </c>
      <c r="V78" s="88">
        <v>60.0001</v>
      </c>
      <c r="W78" s="88">
        <v>80</v>
      </c>
      <c r="X78" s="88">
        <v>80.0001</v>
      </c>
      <c r="Y78" s="244">
        <v>10000</v>
      </c>
      <c r="Z78" s="255">
        <f t="shared" si="39"/>
        <v>1</v>
      </c>
      <c r="AA78" s="480" t="s">
        <v>488</v>
      </c>
      <c r="AB78" s="481" t="s">
        <v>220</v>
      </c>
      <c r="AC78" s="891" t="s">
        <v>419</v>
      </c>
      <c r="AD78" s="904" t="s">
        <v>417</v>
      </c>
      <c r="AE78" s="875" t="s">
        <v>498</v>
      </c>
      <c r="AF78" s="348"/>
      <c r="AG78" s="1096" t="s">
        <v>271</v>
      </c>
      <c r="AH78" s="1097"/>
      <c r="AI78" s="1097"/>
      <c r="AJ78" s="1097"/>
      <c r="AK78" s="1097"/>
      <c r="AL78" s="1097"/>
      <c r="AM78" s="1097"/>
      <c r="AN78" s="1097"/>
      <c r="AO78" s="1097"/>
      <c r="AP78" s="1097"/>
      <c r="AQ78" s="1097"/>
      <c r="AR78" s="1097"/>
      <c r="AS78" s="1097"/>
      <c r="AT78" s="1097"/>
      <c r="AU78" s="1097"/>
      <c r="AV78" s="1097"/>
      <c r="AW78" s="1097"/>
      <c r="AX78" s="1097"/>
      <c r="AY78" s="1097"/>
      <c r="AZ78" s="1098"/>
      <c r="BA78" s="357">
        <f>IF(E78&gt;F78,"ERROR INPUT","")</f>
      </c>
      <c r="BF78">
        <v>4</v>
      </c>
      <c r="BG78" s="358">
        <f t="shared" si="40"/>
        <v>0.25</v>
      </c>
      <c r="BH78">
        <f t="shared" si="41"/>
        <v>1</v>
      </c>
      <c r="BI78" s="358">
        <f t="shared" si="42"/>
        <v>0.25</v>
      </c>
    </row>
    <row r="79" spans="1:61" ht="49.5" customHeight="1" thickBot="1">
      <c r="A79" s="1013"/>
      <c r="B79" s="1039"/>
      <c r="C79" s="322">
        <f t="shared" si="43"/>
        <v>72</v>
      </c>
      <c r="D79" s="823" t="s">
        <v>99</v>
      </c>
      <c r="E79" s="669">
        <v>70365</v>
      </c>
      <c r="F79" s="215">
        <f>+$E$7</f>
        <v>5517</v>
      </c>
      <c r="G79" s="829">
        <f>IF(E79="","",ROUND(E79/F79,4))</f>
        <v>12.7542</v>
      </c>
      <c r="H79" s="830">
        <f>IF(OR(E79="",F79="",F79=0),"",SUM(K79:O79))</f>
        <v>4</v>
      </c>
      <c r="I79" s="826">
        <v>0.5</v>
      </c>
      <c r="J79" s="827">
        <f t="shared" si="44"/>
        <v>2</v>
      </c>
      <c r="K79" s="747">
        <f>IF($G79&lt;$R79,$K$5,"")</f>
      </c>
      <c r="L79" s="89">
        <f>IF(AND($G79&lt;$T79,$G79&gt;$Q79),$L$5,"")</f>
      </c>
      <c r="M79" s="89">
        <f>IF(AND($G79&lt;$V79,$G79&gt;$S79),$M$5,"")</f>
      </c>
      <c r="N79" s="89">
        <f>IF(AND($G79&lt;$X79,$G79&gt;$U79),$N$5,"")</f>
      </c>
      <c r="O79" s="89">
        <f>IF(AND($G79&lt;Y79,G79&gt;W79),$O$5,"")</f>
        <v>4</v>
      </c>
      <c r="P79" s="12">
        <v>0</v>
      </c>
      <c r="Q79" s="12">
        <v>0</v>
      </c>
      <c r="R79" s="12">
        <v>0.0001</v>
      </c>
      <c r="S79" s="12">
        <v>2.9999</v>
      </c>
      <c r="T79" s="12">
        <v>3</v>
      </c>
      <c r="U79" s="12">
        <v>3.9999</v>
      </c>
      <c r="V79" s="12">
        <v>4</v>
      </c>
      <c r="W79" s="12">
        <v>4.9999</v>
      </c>
      <c r="X79" s="12">
        <v>5</v>
      </c>
      <c r="Y79" s="244">
        <v>10000</v>
      </c>
      <c r="Z79" s="255">
        <f t="shared" si="39"/>
        <v>1</v>
      </c>
      <c r="AA79" s="480" t="s">
        <v>488</v>
      </c>
      <c r="AB79" s="481" t="s">
        <v>220</v>
      </c>
      <c r="AC79" s="891" t="s">
        <v>437</v>
      </c>
      <c r="AD79" s="904" t="s">
        <v>417</v>
      </c>
      <c r="AE79" s="875" t="s">
        <v>498</v>
      </c>
      <c r="AF79" s="348"/>
      <c r="AG79" s="1096" t="s">
        <v>376</v>
      </c>
      <c r="AH79" s="1097"/>
      <c r="AI79" s="1097"/>
      <c r="AJ79" s="1097"/>
      <c r="AK79" s="1097"/>
      <c r="AL79" s="1097"/>
      <c r="AM79" s="1097"/>
      <c r="AN79" s="1097"/>
      <c r="AO79" s="1097"/>
      <c r="AP79" s="1097"/>
      <c r="AQ79" s="1097"/>
      <c r="AR79" s="1097"/>
      <c r="AS79" s="1097"/>
      <c r="AT79" s="1097"/>
      <c r="AU79" s="1097"/>
      <c r="AV79" s="1097"/>
      <c r="AW79" s="1097"/>
      <c r="AX79" s="1097"/>
      <c r="AY79" s="1097"/>
      <c r="AZ79" s="1098"/>
      <c r="BA79" s="356"/>
      <c r="BF79">
        <v>4</v>
      </c>
      <c r="BG79" s="358">
        <f t="shared" si="40"/>
        <v>0.5</v>
      </c>
      <c r="BH79">
        <f t="shared" si="41"/>
        <v>2</v>
      </c>
      <c r="BI79" s="358">
        <f t="shared" si="42"/>
        <v>2</v>
      </c>
    </row>
    <row r="80" spans="1:61" ht="37.5" customHeight="1" thickBot="1">
      <c r="A80" s="1013"/>
      <c r="B80" s="1039"/>
      <c r="C80" s="322">
        <f t="shared" si="43"/>
        <v>73</v>
      </c>
      <c r="D80" s="823" t="s">
        <v>100</v>
      </c>
      <c r="E80" s="1017">
        <v>1</v>
      </c>
      <c r="F80" s="1017"/>
      <c r="G80" s="824">
        <f>+E80</f>
        <v>1</v>
      </c>
      <c r="H80" s="830">
        <f>IF(E80="","",SUM(K80:O80))</f>
        <v>2</v>
      </c>
      <c r="I80" s="826">
        <v>0.5</v>
      </c>
      <c r="J80" s="827">
        <f t="shared" si="44"/>
        <v>1</v>
      </c>
      <c r="K80" s="748">
        <f>IF($E80&lt;$R80,$K$5,"")</f>
      </c>
      <c r="L80" s="90"/>
      <c r="M80" s="90">
        <f>IF(AND($E80&lt;$V80,$E80&gt;$S80),$M$5,"")</f>
        <v>2</v>
      </c>
      <c r="N80" s="90"/>
      <c r="O80" s="90">
        <f>IF(AND($E80&lt;Y80,E80&gt;W80),$O$5,"")</f>
      </c>
      <c r="P80" s="12">
        <v>0</v>
      </c>
      <c r="Q80" s="12">
        <v>0.999</v>
      </c>
      <c r="R80" s="12">
        <v>0.999</v>
      </c>
      <c r="S80" s="12">
        <v>0.999</v>
      </c>
      <c r="T80" s="12">
        <v>1</v>
      </c>
      <c r="U80" s="12">
        <v>1.9999</v>
      </c>
      <c r="V80" s="12">
        <v>2</v>
      </c>
      <c r="W80" s="12">
        <v>1.9999</v>
      </c>
      <c r="X80" s="12">
        <v>2</v>
      </c>
      <c r="Y80" s="244">
        <v>10000</v>
      </c>
      <c r="Z80" s="255">
        <f t="shared" si="39"/>
        <v>1</v>
      </c>
      <c r="AA80" s="480" t="s">
        <v>488</v>
      </c>
      <c r="AB80" s="481" t="s">
        <v>220</v>
      </c>
      <c r="AC80" s="891"/>
      <c r="AD80" s="904" t="s">
        <v>417</v>
      </c>
      <c r="AE80" s="875" t="s">
        <v>500</v>
      </c>
      <c r="AF80" s="348"/>
      <c r="AG80" s="1096" t="s">
        <v>285</v>
      </c>
      <c r="AH80" s="1097"/>
      <c r="AI80" s="1097"/>
      <c r="AJ80" s="1097"/>
      <c r="AK80" s="1097"/>
      <c r="AL80" s="1097"/>
      <c r="AM80" s="1097"/>
      <c r="AN80" s="1097"/>
      <c r="AO80" s="1097"/>
      <c r="AP80" s="1097"/>
      <c r="AQ80" s="1097"/>
      <c r="AR80" s="1097"/>
      <c r="AS80" s="1097"/>
      <c r="AT80" s="1097"/>
      <c r="AU80" s="1097"/>
      <c r="AV80" s="1097"/>
      <c r="AW80" s="1097"/>
      <c r="AX80" s="1097"/>
      <c r="AY80" s="1097"/>
      <c r="AZ80" s="1098"/>
      <c r="BA80" s="356"/>
      <c r="BF80">
        <v>4</v>
      </c>
      <c r="BG80" s="358">
        <f t="shared" si="40"/>
        <v>0.5</v>
      </c>
      <c r="BH80">
        <f t="shared" si="41"/>
        <v>2</v>
      </c>
      <c r="BI80" s="358">
        <f t="shared" si="42"/>
        <v>1</v>
      </c>
    </row>
    <row r="81" spans="1:61" ht="52.5" customHeight="1" thickBot="1">
      <c r="A81" s="1013"/>
      <c r="B81" s="1039"/>
      <c r="C81" s="322">
        <f t="shared" si="43"/>
        <v>74</v>
      </c>
      <c r="D81" s="823" t="s">
        <v>101</v>
      </c>
      <c r="E81" s="669">
        <v>5</v>
      </c>
      <c r="F81" s="215">
        <f>+$E$7</f>
        <v>5517</v>
      </c>
      <c r="G81" s="829">
        <f>IF(E81="","",ROUND(E81/(F81/100),4))</f>
        <v>0.0906</v>
      </c>
      <c r="H81" s="830">
        <f>IF(OR(E81="",F81="",F81=0),"",SUM(K81:O81))</f>
        <v>1</v>
      </c>
      <c r="I81" s="826">
        <v>0.25</v>
      </c>
      <c r="J81" s="827">
        <f t="shared" si="44"/>
        <v>0.25</v>
      </c>
      <c r="K81" s="747">
        <f>IF($G81&lt;$R81,$K$5,"")</f>
        <v>0</v>
      </c>
      <c r="L81" s="89">
        <f>IF(AND($G81&lt;$T81,$G81&gt;$Q81),$L$5,"")</f>
        <v>1</v>
      </c>
      <c r="M81" s="89">
        <f>IF(AND($G81&lt;$V81,$G81&gt;$S81),$M$5,"")</f>
      </c>
      <c r="N81" s="89">
        <f>IF(AND($G81&lt;$X81,$G81&gt;$U81),$N$5,"")</f>
      </c>
      <c r="O81" s="89">
        <f>IF(AND($G81&lt;Y81,G81&gt;W81),$O$5,"")</f>
      </c>
      <c r="P81" s="12">
        <v>0</v>
      </c>
      <c r="Q81" s="12">
        <v>0</v>
      </c>
      <c r="R81" s="12">
        <v>1</v>
      </c>
      <c r="S81" s="12">
        <v>1</v>
      </c>
      <c r="T81" s="12">
        <v>2</v>
      </c>
      <c r="U81" s="12">
        <v>2</v>
      </c>
      <c r="V81" s="12">
        <v>3</v>
      </c>
      <c r="W81" s="12">
        <v>3</v>
      </c>
      <c r="X81" s="12">
        <v>4</v>
      </c>
      <c r="Y81" s="244">
        <v>10000</v>
      </c>
      <c r="Z81" s="255">
        <f t="shared" si="39"/>
        <v>1</v>
      </c>
      <c r="AA81" s="480" t="s">
        <v>488</v>
      </c>
      <c r="AB81" s="481" t="s">
        <v>220</v>
      </c>
      <c r="AC81" s="891" t="s">
        <v>438</v>
      </c>
      <c r="AD81" s="904" t="s">
        <v>417</v>
      </c>
      <c r="AE81" s="875" t="s">
        <v>500</v>
      </c>
      <c r="AF81" s="348"/>
      <c r="AG81" s="1096" t="s">
        <v>286</v>
      </c>
      <c r="AH81" s="1097"/>
      <c r="AI81" s="1097"/>
      <c r="AJ81" s="1097"/>
      <c r="AK81" s="1097"/>
      <c r="AL81" s="1097"/>
      <c r="AM81" s="1097"/>
      <c r="AN81" s="1097"/>
      <c r="AO81" s="1097"/>
      <c r="AP81" s="1097"/>
      <c r="AQ81" s="1097"/>
      <c r="AR81" s="1097"/>
      <c r="AS81" s="1097"/>
      <c r="AT81" s="1097"/>
      <c r="AU81" s="1097"/>
      <c r="AV81" s="1097"/>
      <c r="AW81" s="1097"/>
      <c r="AX81" s="1097"/>
      <c r="AY81" s="1097"/>
      <c r="AZ81" s="1098"/>
      <c r="BA81" s="356"/>
      <c r="BF81">
        <v>4</v>
      </c>
      <c r="BG81" s="358">
        <f t="shared" si="40"/>
        <v>0.25</v>
      </c>
      <c r="BH81">
        <f t="shared" si="41"/>
        <v>1</v>
      </c>
      <c r="BI81" s="358">
        <f t="shared" si="42"/>
        <v>0.25</v>
      </c>
    </row>
    <row r="82" spans="1:61" ht="37.5" customHeight="1" thickBot="1">
      <c r="A82" s="1013"/>
      <c r="B82" s="1039"/>
      <c r="C82" s="322">
        <f t="shared" si="43"/>
        <v>75</v>
      </c>
      <c r="D82" s="823" t="s">
        <v>102</v>
      </c>
      <c r="E82" s="1017" t="s">
        <v>417</v>
      </c>
      <c r="F82" s="1017"/>
      <c r="G82" s="824" t="str">
        <f>+E82</f>
        <v>YES</v>
      </c>
      <c r="H82" s="825">
        <f>IF(E82="","",SUM(K82:O82))</f>
        <v>4</v>
      </c>
      <c r="I82" s="826">
        <v>0.25</v>
      </c>
      <c r="J82" s="827">
        <f t="shared" si="44"/>
        <v>1</v>
      </c>
      <c r="K82" s="745">
        <f>IF(OR(E82="",E82="NO"),$K$5,"")</f>
      </c>
      <c r="L82" s="65">
        <f>IF(AND($G82&lt;$T82%,$G82&gt;$Q82%),$L$5,"")</f>
      </c>
      <c r="M82" s="65">
        <f>IF(AND($G82&lt;$V82%,$G82&gt;$S82%),$M$5,"")</f>
      </c>
      <c r="N82" s="65">
        <f>IF(AND($G82&lt;$X82%,$G82&gt;$U82%),$N$5,"")</f>
      </c>
      <c r="O82" s="65">
        <f>IF(E82="YES",$O$5,"")</f>
        <v>4</v>
      </c>
      <c r="P82" s="12"/>
      <c r="Q82" s="12"/>
      <c r="R82" s="18"/>
      <c r="S82" s="18"/>
      <c r="T82" s="12"/>
      <c r="U82" s="12"/>
      <c r="V82" s="12"/>
      <c r="W82" s="12"/>
      <c r="X82" s="12"/>
      <c r="Y82" s="243"/>
      <c r="Z82" s="255">
        <f t="shared" si="39"/>
        <v>1</v>
      </c>
      <c r="AA82" s="480" t="s">
        <v>488</v>
      </c>
      <c r="AB82" s="481" t="s">
        <v>220</v>
      </c>
      <c r="AC82" s="891" t="s">
        <v>438</v>
      </c>
      <c r="AD82" s="904" t="s">
        <v>417</v>
      </c>
      <c r="AE82" s="875" t="s">
        <v>500</v>
      </c>
      <c r="AF82" s="348"/>
      <c r="AG82" s="1096" t="s">
        <v>286</v>
      </c>
      <c r="AH82" s="1097"/>
      <c r="AI82" s="1097"/>
      <c r="AJ82" s="1097"/>
      <c r="AK82" s="1097"/>
      <c r="AL82" s="1097"/>
      <c r="AM82" s="1097"/>
      <c r="AN82" s="1097"/>
      <c r="AO82" s="1097"/>
      <c r="AP82" s="1097"/>
      <c r="AQ82" s="1097"/>
      <c r="AR82" s="1097"/>
      <c r="AS82" s="1097"/>
      <c r="AT82" s="1097"/>
      <c r="AU82" s="1097"/>
      <c r="AV82" s="1097"/>
      <c r="AW82" s="1097"/>
      <c r="AX82" s="1097"/>
      <c r="AY82" s="1097"/>
      <c r="AZ82" s="1098"/>
      <c r="BA82" s="356"/>
      <c r="BF82">
        <v>4</v>
      </c>
      <c r="BG82" s="358">
        <f t="shared" si="40"/>
        <v>0.25</v>
      </c>
      <c r="BH82">
        <f t="shared" si="41"/>
        <v>1</v>
      </c>
      <c r="BI82" s="358">
        <f t="shared" si="42"/>
        <v>1</v>
      </c>
    </row>
    <row r="83" spans="1:61" ht="37.5" customHeight="1" thickBot="1">
      <c r="A83" s="1013"/>
      <c r="B83" s="1039"/>
      <c r="C83" s="322">
        <f t="shared" si="43"/>
        <v>76</v>
      </c>
      <c r="D83" s="823" t="s">
        <v>103</v>
      </c>
      <c r="E83" s="1017">
        <v>11</v>
      </c>
      <c r="F83" s="1017"/>
      <c r="G83" s="824">
        <f>+E83</f>
        <v>11</v>
      </c>
      <c r="H83" s="825">
        <f>IF(E83="","",SUM(K83:O83))</f>
        <v>4</v>
      </c>
      <c r="I83" s="826">
        <v>0.25</v>
      </c>
      <c r="J83" s="827">
        <f t="shared" si="44"/>
        <v>1</v>
      </c>
      <c r="K83" s="748">
        <f>IF($E83&lt;$R83,$K$5,"")</f>
      </c>
      <c r="L83" s="90">
        <f>IF(AND($E83&lt;$T83,$E83&gt;$Q83),$L$5,"")</f>
      </c>
      <c r="M83" s="90">
        <f>IF(AND($E83&lt;$V83,$E83&gt;$S83),$M$5,"")</f>
      </c>
      <c r="N83" s="90">
        <f>IF(AND($E83&lt;$X83,$E83&gt;$U83),$N$5,"")</f>
      </c>
      <c r="O83" s="90">
        <f>IF(AND($E83&lt;Y83,E83&gt;W83),$O$5,"")</f>
        <v>4</v>
      </c>
      <c r="P83" s="12">
        <v>0</v>
      </c>
      <c r="Q83" s="12">
        <v>0</v>
      </c>
      <c r="R83" s="12">
        <v>1</v>
      </c>
      <c r="S83" s="12">
        <v>3</v>
      </c>
      <c r="T83" s="12">
        <v>4</v>
      </c>
      <c r="U83" s="12">
        <v>6</v>
      </c>
      <c r="V83" s="12">
        <v>7</v>
      </c>
      <c r="W83" s="12">
        <v>9</v>
      </c>
      <c r="X83" s="12">
        <v>10</v>
      </c>
      <c r="Y83" s="244">
        <v>10000</v>
      </c>
      <c r="Z83" s="255">
        <f t="shared" si="39"/>
        <v>1</v>
      </c>
      <c r="AA83" s="480" t="s">
        <v>488</v>
      </c>
      <c r="AB83" s="481" t="s">
        <v>220</v>
      </c>
      <c r="AC83" s="891" t="s">
        <v>440</v>
      </c>
      <c r="AD83" s="904" t="s">
        <v>417</v>
      </c>
      <c r="AE83" s="875" t="s">
        <v>500</v>
      </c>
      <c r="AF83" s="348"/>
      <c r="AG83" s="1096" t="s">
        <v>272</v>
      </c>
      <c r="AH83" s="1097"/>
      <c r="AI83" s="1097"/>
      <c r="AJ83" s="1097"/>
      <c r="AK83" s="1097"/>
      <c r="AL83" s="1097"/>
      <c r="AM83" s="1097"/>
      <c r="AN83" s="1097"/>
      <c r="AO83" s="1097"/>
      <c r="AP83" s="1097"/>
      <c r="AQ83" s="1097"/>
      <c r="AR83" s="1097"/>
      <c r="AS83" s="1097"/>
      <c r="AT83" s="1097"/>
      <c r="AU83" s="1097"/>
      <c r="AV83" s="1097"/>
      <c r="AW83" s="1097"/>
      <c r="AX83" s="1097"/>
      <c r="AY83" s="1097"/>
      <c r="AZ83" s="1098"/>
      <c r="BA83" s="356"/>
      <c r="BF83">
        <v>4</v>
      </c>
      <c r="BG83" s="358">
        <f t="shared" si="40"/>
        <v>0.25</v>
      </c>
      <c r="BH83">
        <f t="shared" si="41"/>
        <v>1</v>
      </c>
      <c r="BI83" s="358">
        <f t="shared" si="42"/>
        <v>1</v>
      </c>
    </row>
    <row r="84" spans="1:63" ht="37.5" customHeight="1" thickBot="1">
      <c r="A84" s="1013"/>
      <c r="B84" s="1039"/>
      <c r="C84" s="322">
        <f t="shared" si="43"/>
        <v>77</v>
      </c>
      <c r="D84" s="823" t="s">
        <v>104</v>
      </c>
      <c r="E84" s="669">
        <v>9</v>
      </c>
      <c r="F84" s="215">
        <f>+$F$60</f>
        <v>19</v>
      </c>
      <c r="G84" s="829">
        <f>IF(E84="","",ROUND(E84/(F84/1),4))</f>
        <v>0.4737</v>
      </c>
      <c r="H84" s="825">
        <f>IF(OR(E84="",F84="",F84=0),"",SUM(K84:O84))</f>
        <v>1</v>
      </c>
      <c r="I84" s="826">
        <v>0.5</v>
      </c>
      <c r="J84" s="827">
        <f t="shared" si="44"/>
        <v>0.5</v>
      </c>
      <c r="K84" s="747">
        <f>IF($G84&lt;$R84,$K$5,"")</f>
        <v>0</v>
      </c>
      <c r="L84" s="89">
        <f>IF(AND($G84&lt;$T84,$G84&gt;$Q84),$L$5,"")</f>
        <v>1</v>
      </c>
      <c r="M84" s="89">
        <f>IF(AND($G84&lt;$V84,$G84&gt;$S84),$M$5,"")</f>
      </c>
      <c r="N84" s="89">
        <f>IF(AND($G84&lt;$X84,$G84&gt;$U84),$N$5,"")</f>
      </c>
      <c r="O84" s="89">
        <f>IF(AND($G84&lt;Y84,G84&gt;W84),$O$5,"")</f>
      </c>
      <c r="P84" s="12">
        <v>0</v>
      </c>
      <c r="Q84" s="12">
        <v>0</v>
      </c>
      <c r="R84" s="12">
        <v>1</v>
      </c>
      <c r="S84" s="12">
        <v>1</v>
      </c>
      <c r="T84" s="12">
        <v>2</v>
      </c>
      <c r="U84" s="12">
        <v>2</v>
      </c>
      <c r="V84" s="12">
        <v>3</v>
      </c>
      <c r="W84" s="12">
        <v>3</v>
      </c>
      <c r="X84" s="12">
        <v>4</v>
      </c>
      <c r="Y84" s="244">
        <v>10000</v>
      </c>
      <c r="Z84" s="255">
        <f t="shared" si="39"/>
        <v>1</v>
      </c>
      <c r="AA84" s="480" t="s">
        <v>488</v>
      </c>
      <c r="AB84" s="481" t="s">
        <v>220</v>
      </c>
      <c r="AC84" s="891" t="s">
        <v>441</v>
      </c>
      <c r="AD84" s="904" t="s">
        <v>417</v>
      </c>
      <c r="AE84" s="875" t="s">
        <v>500</v>
      </c>
      <c r="AF84" s="348"/>
      <c r="AG84" s="1096" t="s">
        <v>272</v>
      </c>
      <c r="AH84" s="1097"/>
      <c r="AI84" s="1097"/>
      <c r="AJ84" s="1097"/>
      <c r="AK84" s="1097"/>
      <c r="AL84" s="1097"/>
      <c r="AM84" s="1097"/>
      <c r="AN84" s="1097"/>
      <c r="AO84" s="1097"/>
      <c r="AP84" s="1097"/>
      <c r="AQ84" s="1097"/>
      <c r="AR84" s="1097"/>
      <c r="AS84" s="1097"/>
      <c r="AT84" s="1097"/>
      <c r="AU84" s="1097"/>
      <c r="AV84" s="1097"/>
      <c r="AW84" s="1097"/>
      <c r="AX84" s="1097"/>
      <c r="AY84" s="1097"/>
      <c r="AZ84" s="1098"/>
      <c r="BA84" s="356"/>
      <c r="BF84">
        <v>4</v>
      </c>
      <c r="BG84" s="358">
        <f t="shared" si="40"/>
        <v>0.5</v>
      </c>
      <c r="BH84">
        <f t="shared" si="41"/>
        <v>2</v>
      </c>
      <c r="BI84" s="358">
        <f t="shared" si="42"/>
        <v>0.5</v>
      </c>
      <c r="BJ84" s="358">
        <f>SUM(BH75:BH84)</f>
        <v>14</v>
      </c>
      <c r="BK84" s="358">
        <f>SUM(BI75:BI84)</f>
        <v>10</v>
      </c>
    </row>
    <row r="85" spans="1:61" ht="50.25" customHeight="1" thickBot="1">
      <c r="A85" s="1013" t="s">
        <v>18</v>
      </c>
      <c r="B85" s="1031" t="s">
        <v>20</v>
      </c>
      <c r="C85" s="323">
        <f t="shared" si="43"/>
        <v>78</v>
      </c>
      <c r="D85" s="831" t="s">
        <v>105</v>
      </c>
      <c r="E85" s="671"/>
      <c r="F85" s="216">
        <f>+$E$7</f>
        <v>5517</v>
      </c>
      <c r="G85" s="832">
        <f>IF(E85="","",ROUND(E85/F85,4))</f>
      </c>
      <c r="H85" s="833">
        <f>IF(OR(E85="",F85="",F85=0),"",SUM(K85:O85))</f>
      </c>
      <c r="I85" s="834">
        <v>0.25</v>
      </c>
      <c r="J85" s="835">
        <f t="shared" si="44"/>
      </c>
      <c r="K85" s="749">
        <f>IF($G85&lt;$R85%,$K$5,"")</f>
      </c>
      <c r="L85" s="27">
        <f>IF(AND($G85&lt;$T85%,$G85&gt;$Q85%),$L$5,"")</f>
      </c>
      <c r="M85" s="27">
        <f>IF(AND($G85&lt;$V85%,$G85&gt;$S85%),$M$5,"")</f>
      </c>
      <c r="N85" s="27">
        <f>IF(AND($G85&lt;$X85%,$G85&gt;$U85%),$N$5,"")</f>
      </c>
      <c r="O85" s="27">
        <f>IF(AND($G85&lt;Y85%,G85&gt;W85%),$O$5,"")</f>
      </c>
      <c r="P85" s="91">
        <v>0</v>
      </c>
      <c r="Q85" s="92">
        <v>0</v>
      </c>
      <c r="R85" s="93">
        <v>0.0001</v>
      </c>
      <c r="S85" s="94">
        <v>1.9999</v>
      </c>
      <c r="T85" s="94">
        <v>2</v>
      </c>
      <c r="U85" s="94">
        <v>3.9999</v>
      </c>
      <c r="V85" s="94">
        <v>4</v>
      </c>
      <c r="W85" s="94">
        <v>5.9999</v>
      </c>
      <c r="X85" s="94">
        <v>6</v>
      </c>
      <c r="Y85" s="245">
        <v>10000</v>
      </c>
      <c r="Z85" s="255">
        <f t="shared" si="39"/>
        <v>0</v>
      </c>
      <c r="AA85" s="482"/>
      <c r="AB85" s="483" t="s">
        <v>220</v>
      </c>
      <c r="AC85" s="892"/>
      <c r="AD85" s="904" t="s">
        <v>396</v>
      </c>
      <c r="AE85" s="875" t="s">
        <v>499</v>
      </c>
      <c r="AF85" s="348"/>
      <c r="AG85" s="1096" t="s">
        <v>287</v>
      </c>
      <c r="AH85" s="1097"/>
      <c r="AI85" s="1097"/>
      <c r="AJ85" s="1097"/>
      <c r="AK85" s="1097"/>
      <c r="AL85" s="1097"/>
      <c r="AM85" s="1097"/>
      <c r="AN85" s="1097"/>
      <c r="AO85" s="1097"/>
      <c r="AP85" s="1097"/>
      <c r="AQ85" s="1097"/>
      <c r="AR85" s="1097"/>
      <c r="AS85" s="1097"/>
      <c r="AT85" s="1097"/>
      <c r="AU85" s="1097"/>
      <c r="AV85" s="1097"/>
      <c r="AW85" s="1097"/>
      <c r="AX85" s="1097"/>
      <c r="AY85" s="1097"/>
      <c r="AZ85" s="1098"/>
      <c r="BA85" s="357">
        <f>IF(E85&gt;F85,"ERROR INPUT","")</f>
      </c>
      <c r="BF85">
        <v>4</v>
      </c>
      <c r="BG85" s="358">
        <f t="shared" si="40"/>
        <v>0.25</v>
      </c>
      <c r="BH85">
        <f t="shared" si="41"/>
        <v>1</v>
      </c>
      <c r="BI85" s="358">
        <f t="shared" si="42"/>
        <v>0</v>
      </c>
    </row>
    <row r="86" spans="1:61" ht="37.5" customHeight="1" thickBot="1">
      <c r="A86" s="1013"/>
      <c r="B86" s="1031"/>
      <c r="C86" s="323">
        <f t="shared" si="43"/>
        <v>79</v>
      </c>
      <c r="D86" s="831" t="s">
        <v>106</v>
      </c>
      <c r="E86" s="1036" t="s">
        <v>417</v>
      </c>
      <c r="F86" s="1036"/>
      <c r="G86" s="836" t="str">
        <f aca="true" t="shared" si="45" ref="G86:G96">+E86</f>
        <v>YES</v>
      </c>
      <c r="H86" s="833">
        <f aca="true" t="shared" si="46" ref="H86:H96">IF(E86="","",SUM(K86:O86))</f>
        <v>4</v>
      </c>
      <c r="I86" s="834">
        <v>0.25</v>
      </c>
      <c r="J86" s="835">
        <f t="shared" si="44"/>
        <v>1</v>
      </c>
      <c r="K86" s="750">
        <f>IF(OR(E86="",E86="NO"),$K$5,"")</f>
      </c>
      <c r="L86" s="63">
        <f>IF(AND($G86&lt;$T86%,$G86&gt;$Q86%),$L$5,"")</f>
      </c>
      <c r="M86" s="63">
        <f>IF(AND($G86&lt;$V86%,$G86&gt;$S86%),$M$5,"")</f>
      </c>
      <c r="N86" s="63">
        <f>IF(AND($G86&lt;$X86%,$G86&gt;$U86%),$N$5,"")</f>
      </c>
      <c r="O86" s="63">
        <f>IF(E86="YES",$O$5,"")</f>
        <v>4</v>
      </c>
      <c r="P86" s="13"/>
      <c r="Q86" s="13"/>
      <c r="R86" s="19"/>
      <c r="S86" s="19"/>
      <c r="T86" s="13"/>
      <c r="U86" s="13"/>
      <c r="V86" s="13"/>
      <c r="W86" s="13"/>
      <c r="X86" s="13"/>
      <c r="Y86" s="246"/>
      <c r="Z86" s="255">
        <f t="shared" si="39"/>
        <v>1</v>
      </c>
      <c r="AA86" s="482" t="s">
        <v>489</v>
      </c>
      <c r="AB86" s="483" t="s">
        <v>220</v>
      </c>
      <c r="AC86" s="892"/>
      <c r="AD86" s="904" t="s">
        <v>417</v>
      </c>
      <c r="AE86" s="875" t="s">
        <v>500</v>
      </c>
      <c r="AF86" s="348"/>
      <c r="AG86" s="1096" t="s">
        <v>273</v>
      </c>
      <c r="AH86" s="1097"/>
      <c r="AI86" s="1097"/>
      <c r="AJ86" s="1097"/>
      <c r="AK86" s="1097"/>
      <c r="AL86" s="1097"/>
      <c r="AM86" s="1097"/>
      <c r="AN86" s="1097"/>
      <c r="AO86" s="1097"/>
      <c r="AP86" s="1097"/>
      <c r="AQ86" s="1097"/>
      <c r="AR86" s="1097"/>
      <c r="AS86" s="1097"/>
      <c r="AT86" s="1097"/>
      <c r="AU86" s="1097"/>
      <c r="AV86" s="1097"/>
      <c r="AW86" s="1097"/>
      <c r="AX86" s="1097"/>
      <c r="AY86" s="1097"/>
      <c r="AZ86" s="1098"/>
      <c r="BA86" s="356"/>
      <c r="BF86">
        <v>4</v>
      </c>
      <c r="BG86" s="358">
        <f t="shared" si="40"/>
        <v>0.25</v>
      </c>
      <c r="BH86">
        <f t="shared" si="41"/>
        <v>1</v>
      </c>
      <c r="BI86" s="358">
        <f t="shared" si="42"/>
        <v>1</v>
      </c>
    </row>
    <row r="87" spans="1:61" ht="37.5" customHeight="1" thickBot="1">
      <c r="A87" s="1013"/>
      <c r="B87" s="1031"/>
      <c r="C87" s="323">
        <f t="shared" si="43"/>
        <v>80</v>
      </c>
      <c r="D87" s="831" t="s">
        <v>107</v>
      </c>
      <c r="E87" s="1036" t="s">
        <v>417</v>
      </c>
      <c r="F87" s="1036"/>
      <c r="G87" s="836" t="str">
        <f t="shared" si="45"/>
        <v>YES</v>
      </c>
      <c r="H87" s="833">
        <f t="shared" si="46"/>
        <v>4</v>
      </c>
      <c r="I87" s="834">
        <v>0.25</v>
      </c>
      <c r="J87" s="835">
        <f t="shared" si="44"/>
        <v>1</v>
      </c>
      <c r="K87" s="750">
        <f>IF(OR(E87="",E87="NO"),$K$5,"")</f>
      </c>
      <c r="L87" s="63">
        <f>IF(AND($G87&lt;$T87%,$G87&gt;$Q87%),$L$5,"")</f>
      </c>
      <c r="M87" s="63">
        <f>IF(AND($G87&lt;$V87%,$G87&gt;$S87%),$M$5,"")</f>
      </c>
      <c r="N87" s="63">
        <f>IF(AND($G87&lt;$X87%,$G87&gt;$U87%),$N$5,"")</f>
      </c>
      <c r="O87" s="63">
        <f>IF(E87="YES",$O$5,"")</f>
        <v>4</v>
      </c>
      <c r="P87" s="13"/>
      <c r="Q87" s="13"/>
      <c r="R87" s="19"/>
      <c r="S87" s="19"/>
      <c r="T87" s="13"/>
      <c r="U87" s="13"/>
      <c r="V87" s="13"/>
      <c r="W87" s="13"/>
      <c r="X87" s="13"/>
      <c r="Y87" s="246"/>
      <c r="Z87" s="255">
        <f t="shared" si="39"/>
        <v>1</v>
      </c>
      <c r="AA87" s="482" t="s">
        <v>489</v>
      </c>
      <c r="AB87" s="483" t="s">
        <v>220</v>
      </c>
      <c r="AC87" s="892" t="s">
        <v>443</v>
      </c>
      <c r="AD87" s="904" t="s">
        <v>417</v>
      </c>
      <c r="AE87" s="875" t="s">
        <v>498</v>
      </c>
      <c r="AF87" s="348"/>
      <c r="AG87" s="1096" t="s">
        <v>271</v>
      </c>
      <c r="AH87" s="1097"/>
      <c r="AI87" s="1097"/>
      <c r="AJ87" s="1097"/>
      <c r="AK87" s="1097"/>
      <c r="AL87" s="1097"/>
      <c r="AM87" s="1097"/>
      <c r="AN87" s="1097"/>
      <c r="AO87" s="1097"/>
      <c r="AP87" s="1097"/>
      <c r="AQ87" s="1097"/>
      <c r="AR87" s="1097"/>
      <c r="AS87" s="1097"/>
      <c r="AT87" s="1097"/>
      <c r="AU87" s="1097"/>
      <c r="AV87" s="1097"/>
      <c r="AW87" s="1097"/>
      <c r="AX87" s="1097"/>
      <c r="AY87" s="1097"/>
      <c r="AZ87" s="1098"/>
      <c r="BA87" s="356"/>
      <c r="BF87">
        <v>4</v>
      </c>
      <c r="BG87" s="358">
        <f t="shared" si="40"/>
        <v>0.25</v>
      </c>
      <c r="BH87">
        <f t="shared" si="41"/>
        <v>1</v>
      </c>
      <c r="BI87" s="358">
        <f t="shared" si="42"/>
        <v>1</v>
      </c>
    </row>
    <row r="88" spans="1:61" ht="54" customHeight="1" thickBot="1">
      <c r="A88" s="1013"/>
      <c r="B88" s="1031"/>
      <c r="C88" s="323">
        <f t="shared" si="43"/>
        <v>81</v>
      </c>
      <c r="D88" s="831" t="s">
        <v>108</v>
      </c>
      <c r="E88" s="1036">
        <v>18</v>
      </c>
      <c r="F88" s="1036"/>
      <c r="G88" s="836">
        <f t="shared" si="45"/>
        <v>18</v>
      </c>
      <c r="H88" s="833">
        <f t="shared" si="46"/>
        <v>4</v>
      </c>
      <c r="I88" s="834">
        <v>0.25</v>
      </c>
      <c r="J88" s="835">
        <f t="shared" si="44"/>
        <v>1</v>
      </c>
      <c r="K88" s="751">
        <f>IF($E88&lt;$R88,$K$5,"")</f>
      </c>
      <c r="L88" s="95">
        <f>IF(AND($E88&lt;$T88,$E88&gt;$Q88),$L$5,"")</f>
      </c>
      <c r="M88" s="95">
        <f>IF(AND($E88&lt;$V88,$E88&gt;$S88),$M$5,"")</f>
      </c>
      <c r="N88" s="95">
        <f>IF(AND($E88&lt;$X88,$E88&gt;$U88),$N$5,"")</f>
      </c>
      <c r="O88" s="95">
        <f>IF(AND($E88&lt;Y88,E88&gt;W88),$O$5,"")</f>
        <v>4</v>
      </c>
      <c r="P88" s="13">
        <v>0</v>
      </c>
      <c r="Q88" s="13">
        <v>2</v>
      </c>
      <c r="R88" s="13">
        <v>3</v>
      </c>
      <c r="S88" s="13">
        <v>3</v>
      </c>
      <c r="T88" s="13">
        <v>4</v>
      </c>
      <c r="U88" s="13">
        <v>6</v>
      </c>
      <c r="V88" s="13">
        <v>7</v>
      </c>
      <c r="W88" s="13">
        <v>9</v>
      </c>
      <c r="X88" s="13">
        <v>10</v>
      </c>
      <c r="Y88" s="245">
        <v>10000</v>
      </c>
      <c r="Z88" s="255">
        <f t="shared" si="39"/>
        <v>1</v>
      </c>
      <c r="AA88" s="482" t="s">
        <v>442</v>
      </c>
      <c r="AB88" s="483" t="s">
        <v>220</v>
      </c>
      <c r="AC88" s="892" t="s">
        <v>395</v>
      </c>
      <c r="AD88" s="904" t="s">
        <v>417</v>
      </c>
      <c r="AE88" s="875" t="s">
        <v>500</v>
      </c>
      <c r="AF88" s="348"/>
      <c r="AG88" s="1096" t="s">
        <v>288</v>
      </c>
      <c r="AH88" s="1097"/>
      <c r="AI88" s="1097"/>
      <c r="AJ88" s="1097"/>
      <c r="AK88" s="1097"/>
      <c r="AL88" s="1097"/>
      <c r="AM88" s="1097"/>
      <c r="AN88" s="1097"/>
      <c r="AO88" s="1097"/>
      <c r="AP88" s="1097"/>
      <c r="AQ88" s="1097"/>
      <c r="AR88" s="1097"/>
      <c r="AS88" s="1097"/>
      <c r="AT88" s="1097"/>
      <c r="AU88" s="1097"/>
      <c r="AV88" s="1097"/>
      <c r="AW88" s="1097"/>
      <c r="AX88" s="1097"/>
      <c r="AY88" s="1097"/>
      <c r="AZ88" s="1098"/>
      <c r="BA88" s="356"/>
      <c r="BF88">
        <v>4</v>
      </c>
      <c r="BG88" s="358">
        <f t="shared" si="40"/>
        <v>0.25</v>
      </c>
      <c r="BH88">
        <f t="shared" si="41"/>
        <v>1</v>
      </c>
      <c r="BI88" s="358">
        <f t="shared" si="42"/>
        <v>1</v>
      </c>
    </row>
    <row r="89" spans="1:61" ht="51" customHeight="1" thickBot="1">
      <c r="A89" s="1013"/>
      <c r="B89" s="1031"/>
      <c r="C89" s="323">
        <f t="shared" si="43"/>
        <v>82</v>
      </c>
      <c r="D89" s="831" t="s">
        <v>109</v>
      </c>
      <c r="E89" s="1036">
        <v>500</v>
      </c>
      <c r="F89" s="1036"/>
      <c r="G89" s="836">
        <f t="shared" si="45"/>
        <v>500</v>
      </c>
      <c r="H89" s="833">
        <f t="shared" si="46"/>
        <v>4</v>
      </c>
      <c r="I89" s="834">
        <v>0.25</v>
      </c>
      <c r="J89" s="835">
        <f t="shared" si="44"/>
        <v>1</v>
      </c>
      <c r="K89" s="751">
        <f>IF($E89&lt;$R89,$K$5,"")</f>
      </c>
      <c r="L89" s="95">
        <f>IF(AND($E89&lt;$T89,$E89&gt;$Q89),$L$5,"")</f>
      </c>
      <c r="M89" s="95">
        <f>IF(AND($E89&lt;$V89,$E89&gt;$S89),$M$5,"")</f>
      </c>
      <c r="N89" s="95">
        <f>IF(AND($E89&lt;$X89,$E89&gt;$U89),$N$5,"")</f>
      </c>
      <c r="O89" s="95">
        <f>IF(AND($E89&lt;Y89,E89&gt;W89),$O$5,"")</f>
        <v>4</v>
      </c>
      <c r="P89" s="91">
        <v>0</v>
      </c>
      <c r="Q89" s="92">
        <v>0</v>
      </c>
      <c r="R89" s="93">
        <v>1</v>
      </c>
      <c r="S89" s="94">
        <v>49</v>
      </c>
      <c r="T89" s="94">
        <v>50</v>
      </c>
      <c r="U89" s="94">
        <v>99</v>
      </c>
      <c r="V89" s="94">
        <v>100</v>
      </c>
      <c r="W89" s="94">
        <v>199</v>
      </c>
      <c r="X89" s="94">
        <v>200</v>
      </c>
      <c r="Y89" s="245">
        <v>10000</v>
      </c>
      <c r="Z89" s="255">
        <f t="shared" si="39"/>
        <v>1</v>
      </c>
      <c r="AA89" s="482" t="s">
        <v>489</v>
      </c>
      <c r="AB89" s="483" t="s">
        <v>220</v>
      </c>
      <c r="AC89" s="892" t="s">
        <v>444</v>
      </c>
      <c r="AD89" s="904" t="s">
        <v>417</v>
      </c>
      <c r="AE89" s="875" t="s">
        <v>498</v>
      </c>
      <c r="AF89" s="348"/>
      <c r="AG89" s="1096" t="s">
        <v>289</v>
      </c>
      <c r="AH89" s="1097"/>
      <c r="AI89" s="1097"/>
      <c r="AJ89" s="1097"/>
      <c r="AK89" s="1097"/>
      <c r="AL89" s="1097"/>
      <c r="AM89" s="1097"/>
      <c r="AN89" s="1097"/>
      <c r="AO89" s="1097"/>
      <c r="AP89" s="1097"/>
      <c r="AQ89" s="1097"/>
      <c r="AR89" s="1097"/>
      <c r="AS89" s="1097"/>
      <c r="AT89" s="1097"/>
      <c r="AU89" s="1097"/>
      <c r="AV89" s="1097"/>
      <c r="AW89" s="1097"/>
      <c r="AX89" s="1097"/>
      <c r="AY89" s="1097"/>
      <c r="AZ89" s="1098"/>
      <c r="BA89" s="356"/>
      <c r="BF89">
        <v>4</v>
      </c>
      <c r="BG89" s="358">
        <f t="shared" si="40"/>
        <v>0.25</v>
      </c>
      <c r="BH89">
        <f t="shared" si="41"/>
        <v>1</v>
      </c>
      <c r="BI89" s="358">
        <f t="shared" si="42"/>
        <v>1</v>
      </c>
    </row>
    <row r="90" spans="1:61" ht="63.75" customHeight="1" thickBot="1">
      <c r="A90" s="1013"/>
      <c r="B90" s="1031"/>
      <c r="C90" s="323">
        <f t="shared" si="43"/>
        <v>83</v>
      </c>
      <c r="D90" s="831" t="s">
        <v>174</v>
      </c>
      <c r="E90" s="1036">
        <v>18</v>
      </c>
      <c r="F90" s="1036"/>
      <c r="G90" s="836">
        <f t="shared" si="45"/>
        <v>18</v>
      </c>
      <c r="H90" s="833">
        <f t="shared" si="46"/>
        <v>4</v>
      </c>
      <c r="I90" s="834">
        <v>0.5</v>
      </c>
      <c r="J90" s="835">
        <f t="shared" si="44"/>
        <v>2</v>
      </c>
      <c r="K90" s="751">
        <f>IF($E90&lt;$R90,$K$5,"")</f>
      </c>
      <c r="L90" s="95">
        <f>IF(AND($E90&lt;$T90,$E90&gt;$Q90),$L$5,"")</f>
      </c>
      <c r="M90" s="95">
        <f>IF(AND($E90&lt;$V90,$E90&gt;$S90),$M$5,"")</f>
      </c>
      <c r="N90" s="95">
        <f>IF(AND($E90&lt;$X90,$E90&gt;$U90),$N$5,"")</f>
      </c>
      <c r="O90" s="95">
        <f>IF(AND($E90&lt;Y90,E90&gt;W90),$O$5,"")</f>
        <v>4</v>
      </c>
      <c r="P90" s="91">
        <v>0</v>
      </c>
      <c r="Q90" s="13">
        <v>0</v>
      </c>
      <c r="R90" s="93">
        <v>1</v>
      </c>
      <c r="S90" s="94">
        <v>5</v>
      </c>
      <c r="T90" s="94">
        <v>6</v>
      </c>
      <c r="U90" s="94">
        <v>10</v>
      </c>
      <c r="V90" s="94">
        <v>11</v>
      </c>
      <c r="W90" s="94">
        <v>15</v>
      </c>
      <c r="X90" s="94">
        <v>16</v>
      </c>
      <c r="Y90" s="245">
        <v>10000</v>
      </c>
      <c r="Z90" s="255">
        <f t="shared" si="39"/>
        <v>1</v>
      </c>
      <c r="AA90" s="482" t="s">
        <v>489</v>
      </c>
      <c r="AB90" s="483" t="s">
        <v>220</v>
      </c>
      <c r="AC90" s="892" t="s">
        <v>445</v>
      </c>
      <c r="AD90" s="904" t="s">
        <v>417</v>
      </c>
      <c r="AE90" s="875" t="s">
        <v>498</v>
      </c>
      <c r="AF90" s="348"/>
      <c r="AG90" s="1099" t="s">
        <v>290</v>
      </c>
      <c r="AH90" s="1100"/>
      <c r="AI90" s="1100"/>
      <c r="AJ90" s="1100"/>
      <c r="AK90" s="1100"/>
      <c r="AL90" s="1100"/>
      <c r="AM90" s="1100"/>
      <c r="AN90" s="1100"/>
      <c r="AO90" s="1100"/>
      <c r="AP90" s="1100"/>
      <c r="AQ90" s="1100"/>
      <c r="AR90" s="1100"/>
      <c r="AS90" s="1100"/>
      <c r="AT90" s="1100"/>
      <c r="AU90" s="1100"/>
      <c r="AV90" s="1100"/>
      <c r="AW90" s="1100"/>
      <c r="AX90" s="1100"/>
      <c r="AY90" s="1100"/>
      <c r="AZ90" s="1101"/>
      <c r="BA90" s="356"/>
      <c r="BF90">
        <v>4</v>
      </c>
      <c r="BG90" s="358">
        <f t="shared" si="40"/>
        <v>0.5</v>
      </c>
      <c r="BH90">
        <f t="shared" si="41"/>
        <v>2</v>
      </c>
      <c r="BI90" s="358">
        <f t="shared" si="42"/>
        <v>2</v>
      </c>
    </row>
    <row r="91" spans="1:61" ht="69.75" customHeight="1" thickBot="1">
      <c r="A91" s="1013"/>
      <c r="B91" s="1031"/>
      <c r="C91" s="323">
        <f t="shared" si="43"/>
        <v>84</v>
      </c>
      <c r="D91" s="831" t="s">
        <v>175</v>
      </c>
      <c r="E91" s="1036">
        <v>46</v>
      </c>
      <c r="F91" s="1036"/>
      <c r="G91" s="836">
        <f t="shared" si="45"/>
        <v>46</v>
      </c>
      <c r="H91" s="833">
        <f t="shared" si="46"/>
        <v>4</v>
      </c>
      <c r="I91" s="834">
        <v>0.25</v>
      </c>
      <c r="J91" s="835">
        <f t="shared" si="44"/>
        <v>1</v>
      </c>
      <c r="K91" s="751">
        <f>IF($E91&lt;$R91,$K$5,"")</f>
      </c>
      <c r="L91" s="95">
        <f>IF(AND($E91&lt;$T91,$E91&gt;$Q91),$L$5,"")</f>
      </c>
      <c r="M91" s="95">
        <f>IF(AND($E91&lt;$V91,$E91&gt;$S91),$M$5,"")</f>
      </c>
      <c r="N91" s="95">
        <f>IF(AND($E91&lt;$X91,$E91&gt;$U91),$N$5,"")</f>
      </c>
      <c r="O91" s="95">
        <f>IF(AND($E91&lt;Y91,E91&gt;W91),$O$5,"")</f>
        <v>4</v>
      </c>
      <c r="P91" s="91">
        <v>0</v>
      </c>
      <c r="Q91" s="92">
        <v>0</v>
      </c>
      <c r="R91" s="93">
        <v>1</v>
      </c>
      <c r="S91" s="94">
        <v>2</v>
      </c>
      <c r="T91" s="94">
        <v>3</v>
      </c>
      <c r="U91" s="94">
        <v>5</v>
      </c>
      <c r="V91" s="94">
        <v>6</v>
      </c>
      <c r="W91" s="94">
        <v>8</v>
      </c>
      <c r="X91" s="94">
        <v>9</v>
      </c>
      <c r="Y91" s="245">
        <v>10000</v>
      </c>
      <c r="Z91" s="255">
        <f t="shared" si="39"/>
        <v>1</v>
      </c>
      <c r="AA91" s="482" t="s">
        <v>489</v>
      </c>
      <c r="AB91" s="483" t="s">
        <v>220</v>
      </c>
      <c r="AC91" s="892" t="s">
        <v>446</v>
      </c>
      <c r="AD91" s="904" t="s">
        <v>417</v>
      </c>
      <c r="AE91" s="875" t="s">
        <v>498</v>
      </c>
      <c r="AF91" s="348"/>
      <c r="AG91" s="1099" t="s">
        <v>291</v>
      </c>
      <c r="AH91" s="1100"/>
      <c r="AI91" s="1100"/>
      <c r="AJ91" s="1100"/>
      <c r="AK91" s="1100"/>
      <c r="AL91" s="1100"/>
      <c r="AM91" s="1100"/>
      <c r="AN91" s="1100"/>
      <c r="AO91" s="1100"/>
      <c r="AP91" s="1100"/>
      <c r="AQ91" s="1100"/>
      <c r="AR91" s="1100"/>
      <c r="AS91" s="1100"/>
      <c r="AT91" s="1100"/>
      <c r="AU91" s="1100"/>
      <c r="AV91" s="1100"/>
      <c r="AW91" s="1100"/>
      <c r="AX91" s="1100"/>
      <c r="AY91" s="1100"/>
      <c r="AZ91" s="1101"/>
      <c r="BA91" s="356"/>
      <c r="BF91">
        <v>4</v>
      </c>
      <c r="BG91" s="358">
        <f t="shared" si="40"/>
        <v>0.25</v>
      </c>
      <c r="BH91">
        <f t="shared" si="41"/>
        <v>1</v>
      </c>
      <c r="BI91" s="358">
        <f t="shared" si="42"/>
        <v>1</v>
      </c>
    </row>
    <row r="92" spans="1:61" ht="37.5" customHeight="1" thickBot="1">
      <c r="A92" s="1013"/>
      <c r="B92" s="1031"/>
      <c r="C92" s="323">
        <f t="shared" si="43"/>
        <v>85</v>
      </c>
      <c r="D92" s="831" t="s">
        <v>110</v>
      </c>
      <c r="E92" s="1036" t="s">
        <v>417</v>
      </c>
      <c r="F92" s="1036"/>
      <c r="G92" s="836" t="str">
        <f t="shared" si="45"/>
        <v>YES</v>
      </c>
      <c r="H92" s="833">
        <f t="shared" si="46"/>
        <v>4</v>
      </c>
      <c r="I92" s="834">
        <v>0.25</v>
      </c>
      <c r="J92" s="835">
        <f t="shared" si="44"/>
        <v>1</v>
      </c>
      <c r="K92" s="750">
        <f>IF(OR(E92="",E92="NO"),$K$5,"")</f>
      </c>
      <c r="L92" s="63">
        <f>IF(AND($G92&lt;$T92%,$G92&gt;$Q92%),$L$5,"")</f>
      </c>
      <c r="M92" s="63">
        <f>IF(AND($G92&lt;$V92%,$G92&gt;$S92%),$M$5,"")</f>
      </c>
      <c r="N92" s="63">
        <f>IF(AND($G92&lt;$X92%,$G92&gt;$U92%),$N$5,"")</f>
      </c>
      <c r="O92" s="63">
        <f>IF(E92="YES",$O$5,"")</f>
        <v>4</v>
      </c>
      <c r="P92" s="13"/>
      <c r="Q92" s="13"/>
      <c r="R92" s="19"/>
      <c r="S92" s="19"/>
      <c r="T92" s="13"/>
      <c r="U92" s="13"/>
      <c r="V92" s="13"/>
      <c r="W92" s="13"/>
      <c r="X92" s="13"/>
      <c r="Y92" s="246"/>
      <c r="Z92" s="255">
        <f t="shared" si="39"/>
        <v>1</v>
      </c>
      <c r="AA92" s="482" t="s">
        <v>442</v>
      </c>
      <c r="AB92" s="483" t="s">
        <v>220</v>
      </c>
      <c r="AC92" s="892" t="s">
        <v>447</v>
      </c>
      <c r="AD92" s="904" t="s">
        <v>417</v>
      </c>
      <c r="AE92" s="875" t="s">
        <v>498</v>
      </c>
      <c r="AF92" s="348"/>
      <c r="AG92" s="1096" t="s">
        <v>292</v>
      </c>
      <c r="AH92" s="1097"/>
      <c r="AI92" s="1097"/>
      <c r="AJ92" s="1097"/>
      <c r="AK92" s="1097"/>
      <c r="AL92" s="1097"/>
      <c r="AM92" s="1097"/>
      <c r="AN92" s="1097"/>
      <c r="AO92" s="1097"/>
      <c r="AP92" s="1097"/>
      <c r="AQ92" s="1097"/>
      <c r="AR92" s="1097"/>
      <c r="AS92" s="1097"/>
      <c r="AT92" s="1097"/>
      <c r="AU92" s="1097"/>
      <c r="AV92" s="1097"/>
      <c r="AW92" s="1097"/>
      <c r="AX92" s="1097"/>
      <c r="AY92" s="1097"/>
      <c r="AZ92" s="1098"/>
      <c r="BA92" s="356"/>
      <c r="BF92">
        <v>4</v>
      </c>
      <c r="BG92" s="358">
        <f t="shared" si="40"/>
        <v>0.25</v>
      </c>
      <c r="BH92">
        <f t="shared" si="41"/>
        <v>1</v>
      </c>
      <c r="BI92" s="358">
        <f t="shared" si="42"/>
        <v>1</v>
      </c>
    </row>
    <row r="93" spans="1:61" ht="37.5" customHeight="1" thickBot="1">
      <c r="A93" s="1013" t="s">
        <v>18</v>
      </c>
      <c r="B93" s="1031" t="s">
        <v>20</v>
      </c>
      <c r="C93" s="323">
        <f t="shared" si="43"/>
        <v>86</v>
      </c>
      <c r="D93" s="831" t="s">
        <v>111</v>
      </c>
      <c r="E93" s="1036" t="s">
        <v>417</v>
      </c>
      <c r="F93" s="1036"/>
      <c r="G93" s="836" t="str">
        <f t="shared" si="45"/>
        <v>YES</v>
      </c>
      <c r="H93" s="833">
        <f t="shared" si="46"/>
        <v>4</v>
      </c>
      <c r="I93" s="834">
        <v>0.25</v>
      </c>
      <c r="J93" s="835">
        <f t="shared" si="44"/>
        <v>1</v>
      </c>
      <c r="K93" s="750">
        <f>IF(OR(E93="",E93="NO"),$K$5,"")</f>
      </c>
      <c r="L93" s="63">
        <f>IF(AND($G93&lt;$T93%,$G93&gt;$Q93%),$L$5,"")</f>
      </c>
      <c r="M93" s="63">
        <f>IF(AND($G93&lt;$V93%,$G93&gt;$S93%),$M$5,"")</f>
      </c>
      <c r="N93" s="63">
        <f>IF(AND($G93&lt;$X93%,$G93&gt;$U93%),$N$5,"")</f>
      </c>
      <c r="O93" s="63">
        <f>IF(E93="YES",$O$5,"")</f>
        <v>4</v>
      </c>
      <c r="P93" s="13"/>
      <c r="Q93" s="13"/>
      <c r="R93" s="19"/>
      <c r="S93" s="19"/>
      <c r="T93" s="13"/>
      <c r="U93" s="13"/>
      <c r="V93" s="13"/>
      <c r="W93" s="13"/>
      <c r="X93" s="13"/>
      <c r="Y93" s="246"/>
      <c r="Z93" s="255">
        <f t="shared" si="39"/>
        <v>1</v>
      </c>
      <c r="AA93" s="482" t="s">
        <v>489</v>
      </c>
      <c r="AB93" s="483" t="s">
        <v>220</v>
      </c>
      <c r="AC93" s="892" t="s">
        <v>448</v>
      </c>
      <c r="AD93" s="904" t="s">
        <v>417</v>
      </c>
      <c r="AE93" s="875" t="s">
        <v>498</v>
      </c>
      <c r="AF93" s="348"/>
      <c r="AG93" s="1099" t="s">
        <v>293</v>
      </c>
      <c r="AH93" s="1100"/>
      <c r="AI93" s="1100"/>
      <c r="AJ93" s="1100"/>
      <c r="AK93" s="1100"/>
      <c r="AL93" s="1100"/>
      <c r="AM93" s="1100"/>
      <c r="AN93" s="1100"/>
      <c r="AO93" s="1100"/>
      <c r="AP93" s="1100"/>
      <c r="AQ93" s="1100"/>
      <c r="AR93" s="1100"/>
      <c r="AS93" s="1100"/>
      <c r="AT93" s="1100"/>
      <c r="AU93" s="1100"/>
      <c r="AV93" s="1100"/>
      <c r="AW93" s="1100"/>
      <c r="AX93" s="1100"/>
      <c r="AY93" s="1100"/>
      <c r="AZ93" s="1101"/>
      <c r="BA93" s="356"/>
      <c r="BF93">
        <v>4</v>
      </c>
      <c r="BG93" s="358">
        <f t="shared" si="40"/>
        <v>0.25</v>
      </c>
      <c r="BH93">
        <f t="shared" si="41"/>
        <v>1</v>
      </c>
      <c r="BI93" s="358">
        <f t="shared" si="42"/>
        <v>1</v>
      </c>
    </row>
    <row r="94" spans="1:61" ht="37.5" customHeight="1" thickBot="1">
      <c r="A94" s="1013"/>
      <c r="B94" s="1031"/>
      <c r="C94" s="323">
        <f t="shared" si="43"/>
        <v>87</v>
      </c>
      <c r="D94" s="831" t="s">
        <v>112</v>
      </c>
      <c r="E94" s="1036" t="s">
        <v>417</v>
      </c>
      <c r="F94" s="1036"/>
      <c r="G94" s="836" t="str">
        <f t="shared" si="45"/>
        <v>YES</v>
      </c>
      <c r="H94" s="833">
        <f t="shared" si="46"/>
        <v>4</v>
      </c>
      <c r="I94" s="834">
        <v>0.25</v>
      </c>
      <c r="J94" s="835">
        <f t="shared" si="44"/>
        <v>1</v>
      </c>
      <c r="K94" s="750">
        <f>IF(OR(E94="",E94="NO"),$K$5,"")</f>
      </c>
      <c r="L94" s="63">
        <f>IF(AND($G94&lt;$T94%,$G94&gt;$Q94%),$L$5,"")</f>
      </c>
      <c r="M94" s="63">
        <f>IF(AND($G94&lt;$V94%,$G94&gt;$S94%),$M$5,"")</f>
      </c>
      <c r="N94" s="63">
        <f>IF(AND($G94&lt;$X94%,$G94&gt;$U94%),$N$5,"")</f>
      </c>
      <c r="O94" s="63">
        <f>IF(E94="YES",$O$5,"")</f>
        <v>4</v>
      </c>
      <c r="P94" s="13"/>
      <c r="Q94" s="13"/>
      <c r="R94" s="19"/>
      <c r="S94" s="19"/>
      <c r="T94" s="13"/>
      <c r="U94" s="13"/>
      <c r="V94" s="13"/>
      <c r="W94" s="13"/>
      <c r="X94" s="13"/>
      <c r="Y94" s="246"/>
      <c r="Z94" s="255">
        <f t="shared" si="39"/>
        <v>1</v>
      </c>
      <c r="AA94" s="482" t="s">
        <v>489</v>
      </c>
      <c r="AB94" s="483" t="s">
        <v>220</v>
      </c>
      <c r="AC94" s="892" t="s">
        <v>449</v>
      </c>
      <c r="AD94" s="904" t="s">
        <v>417</v>
      </c>
      <c r="AE94" s="875" t="s">
        <v>498</v>
      </c>
      <c r="AF94" s="348"/>
      <c r="AG94" s="1099" t="s">
        <v>293</v>
      </c>
      <c r="AH94" s="1100"/>
      <c r="AI94" s="1100"/>
      <c r="AJ94" s="1100"/>
      <c r="AK94" s="1100"/>
      <c r="AL94" s="1100"/>
      <c r="AM94" s="1100"/>
      <c r="AN94" s="1100"/>
      <c r="AO94" s="1100"/>
      <c r="AP94" s="1100"/>
      <c r="AQ94" s="1100"/>
      <c r="AR94" s="1100"/>
      <c r="AS94" s="1100"/>
      <c r="AT94" s="1100"/>
      <c r="AU94" s="1100"/>
      <c r="AV94" s="1100"/>
      <c r="AW94" s="1100"/>
      <c r="AX94" s="1100"/>
      <c r="AY94" s="1100"/>
      <c r="AZ94" s="1101"/>
      <c r="BA94" s="356"/>
      <c r="BF94">
        <v>4</v>
      </c>
      <c r="BG94" s="358">
        <f t="shared" si="40"/>
        <v>0.25</v>
      </c>
      <c r="BH94">
        <f t="shared" si="41"/>
        <v>1</v>
      </c>
      <c r="BI94" s="358">
        <f t="shared" si="42"/>
        <v>1</v>
      </c>
    </row>
    <row r="95" spans="1:61" ht="37.5" customHeight="1" thickBot="1">
      <c r="A95" s="1013"/>
      <c r="B95" s="1031"/>
      <c r="C95" s="323">
        <f t="shared" si="43"/>
        <v>88</v>
      </c>
      <c r="D95" s="831" t="s">
        <v>113</v>
      </c>
      <c r="E95" s="1036">
        <v>74</v>
      </c>
      <c r="F95" s="1036"/>
      <c r="G95" s="836">
        <f t="shared" si="45"/>
        <v>74</v>
      </c>
      <c r="H95" s="833">
        <f t="shared" si="46"/>
        <v>4</v>
      </c>
      <c r="I95" s="834">
        <v>0.5</v>
      </c>
      <c r="J95" s="835">
        <f t="shared" si="44"/>
        <v>2</v>
      </c>
      <c r="K95" s="751">
        <f>IF($E95&lt;$R95,$K$5,"")</f>
      </c>
      <c r="L95" s="95">
        <f>IF(AND($E95&lt;$T95,$E95&gt;$Q95),$L$5,"")</f>
      </c>
      <c r="M95" s="95">
        <f>IF(AND($E95&lt;$V95,$E95&gt;$S95),$M$5,"")</f>
      </c>
      <c r="N95" s="95">
        <f>IF(AND($E95&lt;$X95,$E95&gt;$U95),$N$5,"")</f>
      </c>
      <c r="O95" s="95">
        <f>IF(AND($E95&lt;Y95,E95&gt;W95),$O$5,"")</f>
        <v>4</v>
      </c>
      <c r="P95" s="91">
        <v>0</v>
      </c>
      <c r="Q95" s="13">
        <v>0</v>
      </c>
      <c r="R95" s="93">
        <v>1</v>
      </c>
      <c r="S95" s="94">
        <v>5</v>
      </c>
      <c r="T95" s="94">
        <v>6</v>
      </c>
      <c r="U95" s="94">
        <v>10</v>
      </c>
      <c r="V95" s="94">
        <v>11</v>
      </c>
      <c r="W95" s="94">
        <v>15</v>
      </c>
      <c r="X95" s="94">
        <v>16</v>
      </c>
      <c r="Y95" s="245">
        <v>10000</v>
      </c>
      <c r="Z95" s="255">
        <f t="shared" si="39"/>
        <v>1</v>
      </c>
      <c r="AA95" s="482" t="s">
        <v>489</v>
      </c>
      <c r="AB95" s="483" t="s">
        <v>220</v>
      </c>
      <c r="AC95" s="892" t="s">
        <v>450</v>
      </c>
      <c r="AD95" s="904" t="s">
        <v>417</v>
      </c>
      <c r="AE95" s="875" t="s">
        <v>498</v>
      </c>
      <c r="AF95" s="348"/>
      <c r="AG95" s="1099" t="s">
        <v>294</v>
      </c>
      <c r="AH95" s="1100"/>
      <c r="AI95" s="1100"/>
      <c r="AJ95" s="1100"/>
      <c r="AK95" s="1100"/>
      <c r="AL95" s="1100"/>
      <c r="AM95" s="1100"/>
      <c r="AN95" s="1100"/>
      <c r="AO95" s="1100"/>
      <c r="AP95" s="1100"/>
      <c r="AQ95" s="1100"/>
      <c r="AR95" s="1100"/>
      <c r="AS95" s="1100"/>
      <c r="AT95" s="1100"/>
      <c r="AU95" s="1100"/>
      <c r="AV95" s="1100"/>
      <c r="AW95" s="1100"/>
      <c r="AX95" s="1100"/>
      <c r="AY95" s="1100"/>
      <c r="AZ95" s="1101"/>
      <c r="BA95" s="356"/>
      <c r="BF95">
        <v>4</v>
      </c>
      <c r="BG95" s="358">
        <f t="shared" si="40"/>
        <v>0.5</v>
      </c>
      <c r="BH95">
        <f t="shared" si="41"/>
        <v>2</v>
      </c>
      <c r="BI95" s="358">
        <f t="shared" si="42"/>
        <v>2</v>
      </c>
    </row>
    <row r="96" spans="1:61" ht="37.5" customHeight="1" thickBot="1">
      <c r="A96" s="1013"/>
      <c r="B96" s="1031"/>
      <c r="C96" s="323">
        <f t="shared" si="43"/>
        <v>89</v>
      </c>
      <c r="D96" s="831" t="s">
        <v>114</v>
      </c>
      <c r="E96" s="1036" t="s">
        <v>396</v>
      </c>
      <c r="F96" s="1036"/>
      <c r="G96" s="836" t="str">
        <f t="shared" si="45"/>
        <v>NO</v>
      </c>
      <c r="H96" s="833">
        <f t="shared" si="46"/>
        <v>0</v>
      </c>
      <c r="I96" s="834">
        <v>0.25</v>
      </c>
      <c r="J96" s="835">
        <f t="shared" si="44"/>
        <v>0</v>
      </c>
      <c r="K96" s="750">
        <f>IF(OR(E96="",E96="NO"),$K$5,"")</f>
        <v>0</v>
      </c>
      <c r="L96" s="63">
        <f>IF(AND($G96&lt;$T96%,$G96&gt;$Q96%),$L$5,"")</f>
      </c>
      <c r="M96" s="63">
        <f>IF(AND($G96&lt;$V96%,$G96&gt;$S96%),$M$5,"")</f>
      </c>
      <c r="N96" s="63">
        <f>IF(AND($G96&lt;$X96%,$G96&gt;$U96%),$N$5,"")</f>
      </c>
      <c r="O96" s="63">
        <f>IF(E96="YES",$O$5,"")</f>
      </c>
      <c r="P96" s="13"/>
      <c r="Q96" s="13"/>
      <c r="R96" s="19"/>
      <c r="S96" s="19"/>
      <c r="T96" s="13"/>
      <c r="U96" s="13"/>
      <c r="V96" s="13"/>
      <c r="W96" s="13"/>
      <c r="X96" s="13"/>
      <c r="Y96" s="246"/>
      <c r="Z96" s="255">
        <f t="shared" si="39"/>
        <v>0</v>
      </c>
      <c r="AA96" s="482"/>
      <c r="AB96" s="483" t="s">
        <v>220</v>
      </c>
      <c r="AC96" s="892"/>
      <c r="AD96" s="904" t="s">
        <v>396</v>
      </c>
      <c r="AE96" s="875" t="s">
        <v>499</v>
      </c>
      <c r="AF96" s="348"/>
      <c r="AG96" s="1096" t="s">
        <v>295</v>
      </c>
      <c r="AH96" s="1097"/>
      <c r="AI96" s="1097"/>
      <c r="AJ96" s="1097"/>
      <c r="AK96" s="1097"/>
      <c r="AL96" s="1097"/>
      <c r="AM96" s="1097"/>
      <c r="AN96" s="1097"/>
      <c r="AO96" s="1097"/>
      <c r="AP96" s="1097"/>
      <c r="AQ96" s="1097"/>
      <c r="AR96" s="1097"/>
      <c r="AS96" s="1097"/>
      <c r="AT96" s="1097"/>
      <c r="AU96" s="1097"/>
      <c r="AV96" s="1097"/>
      <c r="AW96" s="1097"/>
      <c r="AX96" s="1097"/>
      <c r="AY96" s="1097"/>
      <c r="AZ96" s="1098"/>
      <c r="BA96" s="356"/>
      <c r="BF96">
        <v>4</v>
      </c>
      <c r="BG96" s="358">
        <f t="shared" si="40"/>
        <v>0.25</v>
      </c>
      <c r="BH96">
        <f t="shared" si="41"/>
        <v>1</v>
      </c>
      <c r="BI96" s="358">
        <f t="shared" si="42"/>
        <v>0</v>
      </c>
    </row>
    <row r="97" spans="1:61" ht="66.75" customHeight="1" thickBot="1">
      <c r="A97" s="1013"/>
      <c r="B97" s="1031"/>
      <c r="C97" s="323">
        <f t="shared" si="43"/>
        <v>90</v>
      </c>
      <c r="D97" s="831" t="s">
        <v>115</v>
      </c>
      <c r="E97" s="671">
        <v>2500</v>
      </c>
      <c r="F97" s="216">
        <f>+$E$7</f>
        <v>5517</v>
      </c>
      <c r="G97" s="832">
        <f>IF(E97="","",ROUND(E97/F97,4))</f>
        <v>0.4531</v>
      </c>
      <c r="H97" s="833">
        <f>IF(OR(E97="",F97="",F97=0),"",SUM(K97:O97))</f>
        <v>4</v>
      </c>
      <c r="I97" s="834">
        <v>0.25</v>
      </c>
      <c r="J97" s="835">
        <f t="shared" si="44"/>
        <v>1</v>
      </c>
      <c r="K97" s="749">
        <f>IF($G97&lt;$R97%,$K$5,"")</f>
      </c>
      <c r="L97" s="27">
        <f>IF(AND($G97&lt;$T97%,$G97&gt;$Q97%),$L$5,"")</f>
      </c>
      <c r="M97" s="27">
        <f>IF(AND($G97&lt;$V97%,$G97&gt;$S97%),$M$5,"")</f>
      </c>
      <c r="N97" s="27">
        <f>IF(AND($G97&lt;$X97%,$G97&gt;$U97%),$N$5,"")</f>
      </c>
      <c r="O97" s="27">
        <f>IF(AND($G97&lt;Y97%,G97&gt;W97%),$O$5,"")</f>
        <v>4</v>
      </c>
      <c r="P97" s="91">
        <v>0</v>
      </c>
      <c r="Q97" s="92">
        <v>0</v>
      </c>
      <c r="R97" s="93">
        <v>0.0001</v>
      </c>
      <c r="S97" s="94">
        <v>4.9999</v>
      </c>
      <c r="T97" s="94">
        <v>5</v>
      </c>
      <c r="U97" s="94">
        <v>9.9999</v>
      </c>
      <c r="V97" s="94">
        <v>10</v>
      </c>
      <c r="W97" s="94">
        <v>14.9999</v>
      </c>
      <c r="X97" s="94">
        <v>15</v>
      </c>
      <c r="Y97" s="245">
        <v>10000</v>
      </c>
      <c r="Z97" s="255">
        <f t="shared" si="39"/>
        <v>1</v>
      </c>
      <c r="AA97" s="482" t="s">
        <v>489</v>
      </c>
      <c r="AB97" s="483" t="s">
        <v>220</v>
      </c>
      <c r="AC97" s="892" t="s">
        <v>451</v>
      </c>
      <c r="AD97" s="904" t="s">
        <v>417</v>
      </c>
      <c r="AE97" s="875" t="s">
        <v>498</v>
      </c>
      <c r="AF97" s="348"/>
      <c r="AG97" s="1096" t="s">
        <v>296</v>
      </c>
      <c r="AH97" s="1097"/>
      <c r="AI97" s="1097"/>
      <c r="AJ97" s="1097"/>
      <c r="AK97" s="1097"/>
      <c r="AL97" s="1097"/>
      <c r="AM97" s="1097"/>
      <c r="AN97" s="1097"/>
      <c r="AO97" s="1097"/>
      <c r="AP97" s="1097"/>
      <c r="AQ97" s="1097"/>
      <c r="AR97" s="1097"/>
      <c r="AS97" s="1097"/>
      <c r="AT97" s="1097"/>
      <c r="AU97" s="1097"/>
      <c r="AV97" s="1097"/>
      <c r="AW97" s="1097"/>
      <c r="AX97" s="1097"/>
      <c r="AY97" s="1097"/>
      <c r="AZ97" s="1098"/>
      <c r="BA97" s="357">
        <f>IF(E97&gt;F97,"ERROR INPUT","")</f>
      </c>
      <c r="BF97">
        <v>4</v>
      </c>
      <c r="BG97" s="358">
        <f t="shared" si="40"/>
        <v>0.25</v>
      </c>
      <c r="BH97">
        <f t="shared" si="41"/>
        <v>1</v>
      </c>
      <c r="BI97" s="358">
        <f t="shared" si="42"/>
        <v>1</v>
      </c>
    </row>
    <row r="98" spans="1:61" ht="49.5" customHeight="1" thickBot="1">
      <c r="A98" s="1013"/>
      <c r="B98" s="1031"/>
      <c r="C98" s="323">
        <f t="shared" si="43"/>
        <v>91</v>
      </c>
      <c r="D98" s="831" t="s">
        <v>176</v>
      </c>
      <c r="E98" s="1036" t="s">
        <v>417</v>
      </c>
      <c r="F98" s="1036"/>
      <c r="G98" s="836" t="str">
        <f aca="true" t="shared" si="47" ref="G98:G107">+E98</f>
        <v>YES</v>
      </c>
      <c r="H98" s="833">
        <f aca="true" t="shared" si="48" ref="H98:H107">IF(E98="","",SUM(K98:O98))</f>
        <v>4</v>
      </c>
      <c r="I98" s="834">
        <v>0.25</v>
      </c>
      <c r="J98" s="835">
        <f t="shared" si="44"/>
        <v>1</v>
      </c>
      <c r="K98" s="750">
        <f aca="true" t="shared" si="49" ref="K98:K107">IF(OR(E98="",E98="NO"),$K$5,"")</f>
      </c>
      <c r="L98" s="63">
        <f aca="true" t="shared" si="50" ref="L98:L107">IF(AND($G98&lt;$T98%,$G98&gt;$Q98%),$L$5,"")</f>
      </c>
      <c r="M98" s="63">
        <f aca="true" t="shared" si="51" ref="M98:M107">IF(AND($G98&lt;$V98%,$G98&gt;$S98%),$M$5,"")</f>
      </c>
      <c r="N98" s="63">
        <f aca="true" t="shared" si="52" ref="N98:N107">IF(AND($G98&lt;$X98%,$G98&gt;$U98%),$N$5,"")</f>
      </c>
      <c r="O98" s="63">
        <f aca="true" t="shared" si="53" ref="O98:O107">IF(E98="YES",$O$5,"")</f>
        <v>4</v>
      </c>
      <c r="P98" s="13"/>
      <c r="Q98" s="13"/>
      <c r="R98" s="19"/>
      <c r="S98" s="19"/>
      <c r="T98" s="13"/>
      <c r="U98" s="13"/>
      <c r="V98" s="13"/>
      <c r="W98" s="13"/>
      <c r="X98" s="13"/>
      <c r="Y98" s="246"/>
      <c r="Z98" s="255">
        <f t="shared" si="39"/>
        <v>1</v>
      </c>
      <c r="AA98" s="482" t="s">
        <v>489</v>
      </c>
      <c r="AB98" s="483" t="s">
        <v>220</v>
      </c>
      <c r="AC98" s="892" t="s">
        <v>452</v>
      </c>
      <c r="AD98" s="904" t="s">
        <v>417</v>
      </c>
      <c r="AE98" s="875" t="s">
        <v>498</v>
      </c>
      <c r="AF98" s="348"/>
      <c r="AG98" s="1099" t="s">
        <v>297</v>
      </c>
      <c r="AH98" s="1100"/>
      <c r="AI98" s="1100"/>
      <c r="AJ98" s="1100"/>
      <c r="AK98" s="1100"/>
      <c r="AL98" s="1100"/>
      <c r="AM98" s="1100"/>
      <c r="AN98" s="1100"/>
      <c r="AO98" s="1100"/>
      <c r="AP98" s="1100"/>
      <c r="AQ98" s="1100"/>
      <c r="AR98" s="1100"/>
      <c r="AS98" s="1100"/>
      <c r="AT98" s="1100"/>
      <c r="AU98" s="1100"/>
      <c r="AV98" s="1100"/>
      <c r="AW98" s="1100"/>
      <c r="AX98" s="1100"/>
      <c r="AY98" s="1100"/>
      <c r="AZ98" s="1101"/>
      <c r="BA98" s="356"/>
      <c r="BF98">
        <v>4</v>
      </c>
      <c r="BG98" s="358">
        <f t="shared" si="40"/>
        <v>0.25</v>
      </c>
      <c r="BH98">
        <f t="shared" si="41"/>
        <v>1</v>
      </c>
      <c r="BI98" s="358">
        <f t="shared" si="42"/>
        <v>1</v>
      </c>
    </row>
    <row r="99" spans="1:61" ht="37.5" customHeight="1" thickBot="1">
      <c r="A99" s="1013"/>
      <c r="B99" s="1031"/>
      <c r="C99" s="323">
        <f t="shared" si="43"/>
        <v>92</v>
      </c>
      <c r="D99" s="831" t="s">
        <v>116</v>
      </c>
      <c r="E99" s="1036" t="s">
        <v>417</v>
      </c>
      <c r="F99" s="1036"/>
      <c r="G99" s="836" t="str">
        <f t="shared" si="47"/>
        <v>YES</v>
      </c>
      <c r="H99" s="833">
        <f t="shared" si="48"/>
        <v>4</v>
      </c>
      <c r="I99" s="834">
        <v>0.5</v>
      </c>
      <c r="J99" s="835">
        <f t="shared" si="44"/>
        <v>2</v>
      </c>
      <c r="K99" s="750">
        <f t="shared" si="49"/>
      </c>
      <c r="L99" s="63">
        <f t="shared" si="50"/>
      </c>
      <c r="M99" s="63">
        <f t="shared" si="51"/>
      </c>
      <c r="N99" s="63">
        <f t="shared" si="52"/>
      </c>
      <c r="O99" s="63">
        <f t="shared" si="53"/>
        <v>4</v>
      </c>
      <c r="P99" s="13"/>
      <c r="Q99" s="13"/>
      <c r="R99" s="19"/>
      <c r="S99" s="19"/>
      <c r="T99" s="13"/>
      <c r="U99" s="13"/>
      <c r="V99" s="13"/>
      <c r="W99" s="13"/>
      <c r="X99" s="13"/>
      <c r="Y99" s="246"/>
      <c r="Z99" s="255">
        <f t="shared" si="39"/>
        <v>1</v>
      </c>
      <c r="AA99" s="482" t="s">
        <v>489</v>
      </c>
      <c r="AB99" s="483" t="s">
        <v>220</v>
      </c>
      <c r="AC99" s="892" t="s">
        <v>453</v>
      </c>
      <c r="AD99" s="904" t="s">
        <v>417</v>
      </c>
      <c r="AE99" s="875" t="s">
        <v>498</v>
      </c>
      <c r="AF99" s="348"/>
      <c r="AG99" s="1096" t="s">
        <v>298</v>
      </c>
      <c r="AH99" s="1097"/>
      <c r="AI99" s="1097"/>
      <c r="AJ99" s="1097"/>
      <c r="AK99" s="1097"/>
      <c r="AL99" s="1097"/>
      <c r="AM99" s="1097"/>
      <c r="AN99" s="1097"/>
      <c r="AO99" s="1097"/>
      <c r="AP99" s="1097"/>
      <c r="AQ99" s="1097"/>
      <c r="AR99" s="1097"/>
      <c r="AS99" s="1097"/>
      <c r="AT99" s="1097"/>
      <c r="AU99" s="1097"/>
      <c r="AV99" s="1097"/>
      <c r="AW99" s="1097"/>
      <c r="AX99" s="1097"/>
      <c r="AY99" s="1097"/>
      <c r="AZ99" s="1098"/>
      <c r="BA99" s="356"/>
      <c r="BF99">
        <v>4</v>
      </c>
      <c r="BG99" s="358">
        <f t="shared" si="40"/>
        <v>0.5</v>
      </c>
      <c r="BH99">
        <f t="shared" si="41"/>
        <v>2</v>
      </c>
      <c r="BI99" s="358">
        <f t="shared" si="42"/>
        <v>2</v>
      </c>
    </row>
    <row r="100" spans="1:61" ht="37.5" customHeight="1" thickBot="1">
      <c r="A100" s="1013"/>
      <c r="B100" s="1031"/>
      <c r="C100" s="323">
        <f t="shared" si="43"/>
        <v>93</v>
      </c>
      <c r="D100" s="831" t="s">
        <v>117</v>
      </c>
      <c r="E100" s="1036" t="s">
        <v>417</v>
      </c>
      <c r="F100" s="1036"/>
      <c r="G100" s="836" t="str">
        <f t="shared" si="47"/>
        <v>YES</v>
      </c>
      <c r="H100" s="833">
        <f t="shared" si="48"/>
        <v>4</v>
      </c>
      <c r="I100" s="834">
        <v>0.25</v>
      </c>
      <c r="J100" s="835">
        <f t="shared" si="44"/>
        <v>1</v>
      </c>
      <c r="K100" s="750">
        <f t="shared" si="49"/>
      </c>
      <c r="L100" s="63">
        <f t="shared" si="50"/>
      </c>
      <c r="M100" s="63">
        <f t="shared" si="51"/>
      </c>
      <c r="N100" s="63">
        <f t="shared" si="52"/>
      </c>
      <c r="O100" s="63">
        <f t="shared" si="53"/>
        <v>4</v>
      </c>
      <c r="P100" s="13"/>
      <c r="Q100" s="13"/>
      <c r="R100" s="19"/>
      <c r="S100" s="19"/>
      <c r="T100" s="13"/>
      <c r="U100" s="13"/>
      <c r="V100" s="13"/>
      <c r="W100" s="13"/>
      <c r="X100" s="13"/>
      <c r="Y100" s="246"/>
      <c r="Z100" s="255">
        <f t="shared" si="39"/>
        <v>1</v>
      </c>
      <c r="AA100" s="482" t="s">
        <v>489</v>
      </c>
      <c r="AB100" s="483" t="s">
        <v>220</v>
      </c>
      <c r="AC100" s="892" t="s">
        <v>454</v>
      </c>
      <c r="AD100" s="904" t="s">
        <v>417</v>
      </c>
      <c r="AE100" s="875" t="s">
        <v>498</v>
      </c>
      <c r="AF100" s="348"/>
      <c r="AG100" s="1096" t="s">
        <v>298</v>
      </c>
      <c r="AH100" s="1097"/>
      <c r="AI100" s="1097"/>
      <c r="AJ100" s="1097"/>
      <c r="AK100" s="1097"/>
      <c r="AL100" s="1097"/>
      <c r="AM100" s="1097"/>
      <c r="AN100" s="1097"/>
      <c r="AO100" s="1097"/>
      <c r="AP100" s="1097"/>
      <c r="AQ100" s="1097"/>
      <c r="AR100" s="1097"/>
      <c r="AS100" s="1097"/>
      <c r="AT100" s="1097"/>
      <c r="AU100" s="1097"/>
      <c r="AV100" s="1097"/>
      <c r="AW100" s="1097"/>
      <c r="AX100" s="1097"/>
      <c r="AY100" s="1097"/>
      <c r="AZ100" s="1098"/>
      <c r="BA100" s="356"/>
      <c r="BF100">
        <v>4</v>
      </c>
      <c r="BG100" s="358">
        <f t="shared" si="40"/>
        <v>0.25</v>
      </c>
      <c r="BH100">
        <f t="shared" si="41"/>
        <v>1</v>
      </c>
      <c r="BI100" s="358">
        <f t="shared" si="42"/>
        <v>1</v>
      </c>
    </row>
    <row r="101" spans="1:61" ht="37.5" customHeight="1" thickBot="1">
      <c r="A101" s="1013"/>
      <c r="B101" s="1031"/>
      <c r="C101" s="323">
        <f t="shared" si="43"/>
        <v>94</v>
      </c>
      <c r="D101" s="831" t="s">
        <v>118</v>
      </c>
      <c r="E101" s="1036" t="s">
        <v>417</v>
      </c>
      <c r="F101" s="1036"/>
      <c r="G101" s="836" t="str">
        <f t="shared" si="47"/>
        <v>YES</v>
      </c>
      <c r="H101" s="833">
        <f t="shared" si="48"/>
        <v>4</v>
      </c>
      <c r="I101" s="834">
        <v>0.25</v>
      </c>
      <c r="J101" s="835">
        <f t="shared" si="44"/>
        <v>1</v>
      </c>
      <c r="K101" s="750">
        <f t="shared" si="49"/>
      </c>
      <c r="L101" s="63">
        <f t="shared" si="50"/>
      </c>
      <c r="M101" s="63">
        <f t="shared" si="51"/>
      </c>
      <c r="N101" s="63">
        <f t="shared" si="52"/>
      </c>
      <c r="O101" s="63">
        <f t="shared" si="53"/>
        <v>4</v>
      </c>
      <c r="P101" s="13"/>
      <c r="Q101" s="13"/>
      <c r="R101" s="19"/>
      <c r="S101" s="19"/>
      <c r="T101" s="13"/>
      <c r="U101" s="13"/>
      <c r="V101" s="13"/>
      <c r="W101" s="13"/>
      <c r="X101" s="13"/>
      <c r="Y101" s="246"/>
      <c r="Z101" s="255">
        <f t="shared" si="39"/>
        <v>1</v>
      </c>
      <c r="AA101" s="482" t="s">
        <v>489</v>
      </c>
      <c r="AB101" s="483" t="s">
        <v>220</v>
      </c>
      <c r="AC101" s="892" t="s">
        <v>455</v>
      </c>
      <c r="AD101" s="904" t="s">
        <v>417</v>
      </c>
      <c r="AE101" s="875" t="s">
        <v>498</v>
      </c>
      <c r="AF101" s="348"/>
      <c r="AG101" s="1096" t="s">
        <v>298</v>
      </c>
      <c r="AH101" s="1097"/>
      <c r="AI101" s="1097"/>
      <c r="AJ101" s="1097"/>
      <c r="AK101" s="1097"/>
      <c r="AL101" s="1097"/>
      <c r="AM101" s="1097"/>
      <c r="AN101" s="1097"/>
      <c r="AO101" s="1097"/>
      <c r="AP101" s="1097"/>
      <c r="AQ101" s="1097"/>
      <c r="AR101" s="1097"/>
      <c r="AS101" s="1097"/>
      <c r="AT101" s="1097"/>
      <c r="AU101" s="1097"/>
      <c r="AV101" s="1097"/>
      <c r="AW101" s="1097"/>
      <c r="AX101" s="1097"/>
      <c r="AY101" s="1097"/>
      <c r="AZ101" s="1098"/>
      <c r="BA101" s="356"/>
      <c r="BF101">
        <v>4</v>
      </c>
      <c r="BG101" s="358">
        <f t="shared" si="40"/>
        <v>0.25</v>
      </c>
      <c r="BH101">
        <f t="shared" si="41"/>
        <v>1</v>
      </c>
      <c r="BI101" s="358">
        <f t="shared" si="42"/>
        <v>1</v>
      </c>
    </row>
    <row r="102" spans="1:61" ht="37.5" customHeight="1" thickBot="1">
      <c r="A102" s="1013"/>
      <c r="B102" s="1031"/>
      <c r="C102" s="323">
        <f t="shared" si="43"/>
        <v>95</v>
      </c>
      <c r="D102" s="831" t="s">
        <v>119</v>
      </c>
      <c r="E102" s="1036" t="s">
        <v>417</v>
      </c>
      <c r="F102" s="1036"/>
      <c r="G102" s="836" t="str">
        <f t="shared" si="47"/>
        <v>YES</v>
      </c>
      <c r="H102" s="833">
        <f t="shared" si="48"/>
        <v>4</v>
      </c>
      <c r="I102" s="834">
        <v>0.25</v>
      </c>
      <c r="J102" s="835">
        <f t="shared" si="44"/>
        <v>1</v>
      </c>
      <c r="K102" s="750">
        <f t="shared" si="49"/>
      </c>
      <c r="L102" s="63">
        <f t="shared" si="50"/>
      </c>
      <c r="M102" s="63">
        <f t="shared" si="51"/>
      </c>
      <c r="N102" s="63">
        <f t="shared" si="52"/>
      </c>
      <c r="O102" s="63">
        <f t="shared" si="53"/>
        <v>4</v>
      </c>
      <c r="P102" s="13"/>
      <c r="Q102" s="13"/>
      <c r="R102" s="19"/>
      <c r="S102" s="19"/>
      <c r="T102" s="13"/>
      <c r="U102" s="13"/>
      <c r="V102" s="13"/>
      <c r="W102" s="13"/>
      <c r="X102" s="13"/>
      <c r="Y102" s="246"/>
      <c r="Z102" s="255">
        <f t="shared" si="39"/>
        <v>1</v>
      </c>
      <c r="AA102" s="482" t="s">
        <v>489</v>
      </c>
      <c r="AB102" s="483" t="s">
        <v>220</v>
      </c>
      <c r="AC102" s="892" t="s">
        <v>456</v>
      </c>
      <c r="AD102" s="904" t="s">
        <v>417</v>
      </c>
      <c r="AE102" s="875" t="s">
        <v>500</v>
      </c>
      <c r="AF102" s="348"/>
      <c r="AG102" s="1096" t="s">
        <v>299</v>
      </c>
      <c r="AH102" s="1097"/>
      <c r="AI102" s="1097"/>
      <c r="AJ102" s="1097"/>
      <c r="AK102" s="1097"/>
      <c r="AL102" s="1097"/>
      <c r="AM102" s="1097"/>
      <c r="AN102" s="1097"/>
      <c r="AO102" s="1097"/>
      <c r="AP102" s="1097"/>
      <c r="AQ102" s="1097"/>
      <c r="AR102" s="1097"/>
      <c r="AS102" s="1097"/>
      <c r="AT102" s="1097"/>
      <c r="AU102" s="1097"/>
      <c r="AV102" s="1097"/>
      <c r="AW102" s="1097"/>
      <c r="AX102" s="1097"/>
      <c r="AY102" s="1097"/>
      <c r="AZ102" s="1098"/>
      <c r="BA102" s="356"/>
      <c r="BF102">
        <v>4</v>
      </c>
      <c r="BG102" s="358">
        <f t="shared" si="40"/>
        <v>0.25</v>
      </c>
      <c r="BH102">
        <f t="shared" si="41"/>
        <v>1</v>
      </c>
      <c r="BI102" s="358">
        <f t="shared" si="42"/>
        <v>1</v>
      </c>
    </row>
    <row r="103" spans="1:61" ht="37.5" customHeight="1" thickBot="1">
      <c r="A103" s="1013" t="s">
        <v>18</v>
      </c>
      <c r="B103" s="1031" t="s">
        <v>20</v>
      </c>
      <c r="C103" s="323">
        <f t="shared" si="43"/>
        <v>96</v>
      </c>
      <c r="D103" s="831" t="s">
        <v>120</v>
      </c>
      <c r="E103" s="1036" t="s">
        <v>417</v>
      </c>
      <c r="F103" s="1036"/>
      <c r="G103" s="836" t="str">
        <f t="shared" si="47"/>
        <v>YES</v>
      </c>
      <c r="H103" s="833">
        <f t="shared" si="48"/>
        <v>4</v>
      </c>
      <c r="I103" s="834">
        <v>0.25</v>
      </c>
      <c r="J103" s="835">
        <f t="shared" si="44"/>
        <v>1</v>
      </c>
      <c r="K103" s="750">
        <f t="shared" si="49"/>
      </c>
      <c r="L103" s="63">
        <f t="shared" si="50"/>
      </c>
      <c r="M103" s="63">
        <f t="shared" si="51"/>
      </c>
      <c r="N103" s="63">
        <f t="shared" si="52"/>
      </c>
      <c r="O103" s="63">
        <f t="shared" si="53"/>
        <v>4</v>
      </c>
      <c r="P103" s="13"/>
      <c r="Q103" s="13"/>
      <c r="R103" s="19"/>
      <c r="S103" s="19"/>
      <c r="T103" s="13"/>
      <c r="U103" s="13"/>
      <c r="V103" s="13"/>
      <c r="W103" s="13"/>
      <c r="X103" s="13"/>
      <c r="Y103" s="246"/>
      <c r="Z103" s="255">
        <f t="shared" si="39"/>
        <v>1</v>
      </c>
      <c r="AA103" s="482" t="s">
        <v>489</v>
      </c>
      <c r="AB103" s="483" t="s">
        <v>220</v>
      </c>
      <c r="AC103" s="892" t="s">
        <v>457</v>
      </c>
      <c r="AD103" s="904" t="s">
        <v>417</v>
      </c>
      <c r="AE103" s="875" t="s">
        <v>500</v>
      </c>
      <c r="AF103" s="348"/>
      <c r="AG103" s="1096" t="s">
        <v>300</v>
      </c>
      <c r="AH103" s="1097"/>
      <c r="AI103" s="1097"/>
      <c r="AJ103" s="1097"/>
      <c r="AK103" s="1097"/>
      <c r="AL103" s="1097"/>
      <c r="AM103" s="1097"/>
      <c r="AN103" s="1097"/>
      <c r="AO103" s="1097"/>
      <c r="AP103" s="1097"/>
      <c r="AQ103" s="1097"/>
      <c r="AR103" s="1097"/>
      <c r="AS103" s="1097"/>
      <c r="AT103" s="1097"/>
      <c r="AU103" s="1097"/>
      <c r="AV103" s="1097"/>
      <c r="AW103" s="1097"/>
      <c r="AX103" s="1097"/>
      <c r="AY103" s="1097"/>
      <c r="AZ103" s="1098"/>
      <c r="BA103" s="356"/>
      <c r="BF103">
        <v>4</v>
      </c>
      <c r="BG103" s="358">
        <f t="shared" si="40"/>
        <v>0.25</v>
      </c>
      <c r="BH103">
        <f t="shared" si="41"/>
        <v>1</v>
      </c>
      <c r="BI103" s="358">
        <f t="shared" si="42"/>
        <v>1</v>
      </c>
    </row>
    <row r="104" spans="1:61" ht="37.5" customHeight="1" thickBot="1">
      <c r="A104" s="1013"/>
      <c r="B104" s="1031"/>
      <c r="C104" s="323">
        <f t="shared" si="43"/>
        <v>97</v>
      </c>
      <c r="D104" s="831" t="s">
        <v>121</v>
      </c>
      <c r="E104" s="1036" t="s">
        <v>417</v>
      </c>
      <c r="F104" s="1036"/>
      <c r="G104" s="836" t="str">
        <f t="shared" si="47"/>
        <v>YES</v>
      </c>
      <c r="H104" s="833">
        <f t="shared" si="48"/>
        <v>4</v>
      </c>
      <c r="I104" s="834">
        <v>0.25</v>
      </c>
      <c r="J104" s="835">
        <f t="shared" si="44"/>
        <v>1</v>
      </c>
      <c r="K104" s="750">
        <f t="shared" si="49"/>
      </c>
      <c r="L104" s="63">
        <f t="shared" si="50"/>
      </c>
      <c r="M104" s="63">
        <f t="shared" si="51"/>
      </c>
      <c r="N104" s="63">
        <f t="shared" si="52"/>
      </c>
      <c r="O104" s="63">
        <f t="shared" si="53"/>
        <v>4</v>
      </c>
      <c r="P104" s="13"/>
      <c r="Q104" s="13"/>
      <c r="R104" s="19"/>
      <c r="S104" s="19"/>
      <c r="T104" s="13"/>
      <c r="U104" s="13"/>
      <c r="V104" s="13"/>
      <c r="W104" s="13"/>
      <c r="X104" s="13"/>
      <c r="Y104" s="246"/>
      <c r="Z104" s="255">
        <f t="shared" si="39"/>
        <v>1</v>
      </c>
      <c r="AA104" s="482" t="s">
        <v>489</v>
      </c>
      <c r="AB104" s="483" t="s">
        <v>220</v>
      </c>
      <c r="AC104" s="892" t="s">
        <v>458</v>
      </c>
      <c r="AD104" s="904" t="s">
        <v>417</v>
      </c>
      <c r="AE104" s="875" t="s">
        <v>500</v>
      </c>
      <c r="AF104" s="348"/>
      <c r="AG104" s="1096" t="s">
        <v>301</v>
      </c>
      <c r="AH104" s="1097"/>
      <c r="AI104" s="1097"/>
      <c r="AJ104" s="1097"/>
      <c r="AK104" s="1097"/>
      <c r="AL104" s="1097"/>
      <c r="AM104" s="1097"/>
      <c r="AN104" s="1097"/>
      <c r="AO104" s="1097"/>
      <c r="AP104" s="1097"/>
      <c r="AQ104" s="1097"/>
      <c r="AR104" s="1097"/>
      <c r="AS104" s="1097"/>
      <c r="AT104" s="1097"/>
      <c r="AU104" s="1097"/>
      <c r="AV104" s="1097"/>
      <c r="AW104" s="1097"/>
      <c r="AX104" s="1097"/>
      <c r="AY104" s="1097"/>
      <c r="AZ104" s="1098"/>
      <c r="BA104" s="356"/>
      <c r="BF104">
        <v>4</v>
      </c>
      <c r="BG104" s="358">
        <f t="shared" si="40"/>
        <v>0.25</v>
      </c>
      <c r="BH104">
        <f t="shared" si="41"/>
        <v>1</v>
      </c>
      <c r="BI104" s="358">
        <f t="shared" si="42"/>
        <v>1</v>
      </c>
    </row>
    <row r="105" spans="1:61" ht="37.5" customHeight="1" thickBot="1">
      <c r="A105" s="1013"/>
      <c r="B105" s="1031"/>
      <c r="C105" s="323">
        <f t="shared" si="43"/>
        <v>98</v>
      </c>
      <c r="D105" s="831" t="s">
        <v>122</v>
      </c>
      <c r="E105" s="1036" t="s">
        <v>417</v>
      </c>
      <c r="F105" s="1036"/>
      <c r="G105" s="836" t="str">
        <f t="shared" si="47"/>
        <v>YES</v>
      </c>
      <c r="H105" s="833">
        <f t="shared" si="48"/>
        <v>4</v>
      </c>
      <c r="I105" s="834">
        <v>0.25</v>
      </c>
      <c r="J105" s="835">
        <f t="shared" si="44"/>
        <v>1</v>
      </c>
      <c r="K105" s="750">
        <f t="shared" si="49"/>
      </c>
      <c r="L105" s="63">
        <f t="shared" si="50"/>
      </c>
      <c r="M105" s="63">
        <f t="shared" si="51"/>
      </c>
      <c r="N105" s="63">
        <f t="shared" si="52"/>
      </c>
      <c r="O105" s="63">
        <f t="shared" si="53"/>
        <v>4</v>
      </c>
      <c r="P105" s="13"/>
      <c r="Q105" s="13"/>
      <c r="R105" s="19"/>
      <c r="S105" s="19"/>
      <c r="T105" s="13"/>
      <c r="U105" s="13"/>
      <c r="V105" s="13"/>
      <c r="W105" s="13"/>
      <c r="X105" s="13"/>
      <c r="Y105" s="246"/>
      <c r="Z105" s="255">
        <f t="shared" si="39"/>
        <v>1</v>
      </c>
      <c r="AA105" s="482" t="s">
        <v>489</v>
      </c>
      <c r="AB105" s="483" t="s">
        <v>220</v>
      </c>
      <c r="AC105" s="892" t="s">
        <v>459</v>
      </c>
      <c r="AD105" s="904" t="s">
        <v>417</v>
      </c>
      <c r="AE105" s="875" t="s">
        <v>500</v>
      </c>
      <c r="AF105" s="348"/>
      <c r="AG105" s="1102" t="s">
        <v>302</v>
      </c>
      <c r="AH105" s="1103"/>
      <c r="AI105" s="1103"/>
      <c r="AJ105" s="1103"/>
      <c r="AK105" s="1103"/>
      <c r="AL105" s="1103"/>
      <c r="AM105" s="1103"/>
      <c r="AN105" s="1103"/>
      <c r="AO105" s="1103"/>
      <c r="AP105" s="1103"/>
      <c r="AQ105" s="1103"/>
      <c r="AR105" s="1103"/>
      <c r="AS105" s="1103"/>
      <c r="AT105" s="1103"/>
      <c r="AU105" s="1103"/>
      <c r="AV105" s="1103"/>
      <c r="AW105" s="1103"/>
      <c r="AX105" s="1103"/>
      <c r="AY105" s="1103"/>
      <c r="AZ105" s="1104"/>
      <c r="BA105" s="356"/>
      <c r="BF105">
        <v>4</v>
      </c>
      <c r="BG105" s="358">
        <f t="shared" si="40"/>
        <v>0.25</v>
      </c>
      <c r="BH105">
        <f t="shared" si="41"/>
        <v>1</v>
      </c>
      <c r="BI105" s="358">
        <f t="shared" si="42"/>
        <v>1</v>
      </c>
    </row>
    <row r="106" spans="1:61" ht="37.5" customHeight="1" thickBot="1">
      <c r="A106" s="1013"/>
      <c r="B106" s="1031"/>
      <c r="C106" s="323">
        <f t="shared" si="43"/>
        <v>99</v>
      </c>
      <c r="D106" s="831" t="s">
        <v>123</v>
      </c>
      <c r="E106" s="1036" t="s">
        <v>417</v>
      </c>
      <c r="F106" s="1036"/>
      <c r="G106" s="836" t="str">
        <f t="shared" si="47"/>
        <v>YES</v>
      </c>
      <c r="H106" s="833">
        <f t="shared" si="48"/>
        <v>4</v>
      </c>
      <c r="I106" s="834">
        <v>0.25</v>
      </c>
      <c r="J106" s="835">
        <f t="shared" si="44"/>
        <v>1</v>
      </c>
      <c r="K106" s="750">
        <f t="shared" si="49"/>
      </c>
      <c r="L106" s="63">
        <f t="shared" si="50"/>
      </c>
      <c r="M106" s="63">
        <f t="shared" si="51"/>
      </c>
      <c r="N106" s="63">
        <f t="shared" si="52"/>
      </c>
      <c r="O106" s="63">
        <f t="shared" si="53"/>
        <v>4</v>
      </c>
      <c r="P106" s="13"/>
      <c r="Q106" s="13"/>
      <c r="R106" s="19"/>
      <c r="S106" s="19"/>
      <c r="T106" s="13"/>
      <c r="U106" s="13"/>
      <c r="V106" s="13"/>
      <c r="W106" s="13"/>
      <c r="X106" s="13"/>
      <c r="Y106" s="246"/>
      <c r="Z106" s="255">
        <f t="shared" si="39"/>
        <v>1</v>
      </c>
      <c r="AA106" s="482" t="s">
        <v>489</v>
      </c>
      <c r="AB106" s="483" t="s">
        <v>220</v>
      </c>
      <c r="AC106" s="892" t="s">
        <v>460</v>
      </c>
      <c r="AD106" s="904" t="s">
        <v>417</v>
      </c>
      <c r="AE106" s="875" t="s">
        <v>500</v>
      </c>
      <c r="AF106" s="348"/>
      <c r="AG106" s="1096" t="s">
        <v>303</v>
      </c>
      <c r="AH106" s="1097"/>
      <c r="AI106" s="1097"/>
      <c r="AJ106" s="1097"/>
      <c r="AK106" s="1097"/>
      <c r="AL106" s="1097"/>
      <c r="AM106" s="1097"/>
      <c r="AN106" s="1097"/>
      <c r="AO106" s="1097"/>
      <c r="AP106" s="1097"/>
      <c r="AQ106" s="1097"/>
      <c r="AR106" s="1097"/>
      <c r="AS106" s="1097"/>
      <c r="AT106" s="1097"/>
      <c r="AU106" s="1097"/>
      <c r="AV106" s="1097"/>
      <c r="AW106" s="1097"/>
      <c r="AX106" s="1097"/>
      <c r="AY106" s="1097"/>
      <c r="AZ106" s="1098"/>
      <c r="BA106" s="356"/>
      <c r="BF106">
        <v>4</v>
      </c>
      <c r="BG106" s="358">
        <f t="shared" si="40"/>
        <v>0.25</v>
      </c>
      <c r="BH106">
        <f t="shared" si="41"/>
        <v>1</v>
      </c>
      <c r="BI106" s="358">
        <f t="shared" si="42"/>
        <v>1</v>
      </c>
    </row>
    <row r="107" spans="1:63" ht="37.5" customHeight="1" thickBot="1">
      <c r="A107" s="1013"/>
      <c r="B107" s="1031"/>
      <c r="C107" s="323">
        <f t="shared" si="43"/>
        <v>100</v>
      </c>
      <c r="D107" s="831" t="s">
        <v>124</v>
      </c>
      <c r="E107" s="1036" t="s">
        <v>417</v>
      </c>
      <c r="F107" s="1036"/>
      <c r="G107" s="836" t="str">
        <f t="shared" si="47"/>
        <v>YES</v>
      </c>
      <c r="H107" s="833">
        <f t="shared" si="48"/>
        <v>4</v>
      </c>
      <c r="I107" s="834">
        <v>0.25</v>
      </c>
      <c r="J107" s="835">
        <f t="shared" si="44"/>
        <v>1</v>
      </c>
      <c r="K107" s="750">
        <f t="shared" si="49"/>
      </c>
      <c r="L107" s="63">
        <f t="shared" si="50"/>
      </c>
      <c r="M107" s="63">
        <f t="shared" si="51"/>
      </c>
      <c r="N107" s="63">
        <f t="shared" si="52"/>
      </c>
      <c r="O107" s="63">
        <f t="shared" si="53"/>
        <v>4</v>
      </c>
      <c r="P107" s="13"/>
      <c r="Q107" s="13"/>
      <c r="R107" s="19"/>
      <c r="S107" s="19"/>
      <c r="T107" s="13"/>
      <c r="U107" s="13"/>
      <c r="V107" s="13"/>
      <c r="W107" s="13"/>
      <c r="X107" s="13"/>
      <c r="Y107" s="246"/>
      <c r="Z107" s="255">
        <f t="shared" si="39"/>
        <v>1</v>
      </c>
      <c r="AA107" s="484" t="s">
        <v>489</v>
      </c>
      <c r="AB107" s="485" t="s">
        <v>220</v>
      </c>
      <c r="AC107" s="893" t="s">
        <v>461</v>
      </c>
      <c r="AD107" s="904" t="s">
        <v>417</v>
      </c>
      <c r="AE107" s="875" t="s">
        <v>500</v>
      </c>
      <c r="AF107" s="348"/>
      <c r="AG107" s="1096" t="s">
        <v>273</v>
      </c>
      <c r="AH107" s="1097"/>
      <c r="AI107" s="1097"/>
      <c r="AJ107" s="1097"/>
      <c r="AK107" s="1097"/>
      <c r="AL107" s="1097"/>
      <c r="AM107" s="1097"/>
      <c r="AN107" s="1097"/>
      <c r="AO107" s="1097"/>
      <c r="AP107" s="1097"/>
      <c r="AQ107" s="1097"/>
      <c r="AR107" s="1097"/>
      <c r="AS107" s="1097"/>
      <c r="AT107" s="1097"/>
      <c r="AU107" s="1097"/>
      <c r="AV107" s="1097"/>
      <c r="AW107" s="1097"/>
      <c r="AX107" s="1097"/>
      <c r="AY107" s="1097"/>
      <c r="AZ107" s="1098"/>
      <c r="BA107" s="356"/>
      <c r="BF107">
        <v>4</v>
      </c>
      <c r="BG107" s="358">
        <f t="shared" si="40"/>
        <v>0.25</v>
      </c>
      <c r="BH107">
        <f t="shared" si="41"/>
        <v>1</v>
      </c>
      <c r="BI107" s="358">
        <f t="shared" si="42"/>
        <v>1</v>
      </c>
      <c r="BJ107" s="358">
        <f>SUM(BH85:BH107)</f>
        <v>26</v>
      </c>
      <c r="BK107" s="358">
        <f>SUM(BI85:BI107)</f>
        <v>24</v>
      </c>
    </row>
    <row r="108" spans="1:61" ht="37.5" customHeight="1" thickBot="1">
      <c r="A108" s="1021" t="s">
        <v>21</v>
      </c>
      <c r="B108" s="1032" t="s">
        <v>22</v>
      </c>
      <c r="C108" s="378">
        <f t="shared" si="43"/>
        <v>101</v>
      </c>
      <c r="D108" s="837" t="s">
        <v>125</v>
      </c>
      <c r="E108" s="673">
        <v>20000000</v>
      </c>
      <c r="F108" s="673">
        <v>20000000</v>
      </c>
      <c r="G108" s="838">
        <f>IF(E108="","",ROUND(E108/F108,4))</f>
        <v>1</v>
      </c>
      <c r="H108" s="839">
        <f>IF(OR(E108="",F108="",F108=0),"",SUM(K108:O108))</f>
        <v>4</v>
      </c>
      <c r="I108" s="840">
        <v>2</v>
      </c>
      <c r="J108" s="841">
        <f t="shared" si="44"/>
        <v>8</v>
      </c>
      <c r="K108" s="752">
        <f>IF($G108&lt;$R108%,$K$5,"")</f>
      </c>
      <c r="L108" s="96">
        <f>IF(AND($G108&lt;$T108%,$G108&gt;$Q108%),$L$5,"")</f>
      </c>
      <c r="M108" s="96">
        <f>IF(AND($G108&lt;$V108%,$G108&gt;$S108%),$M$5,"")</f>
      </c>
      <c r="N108" s="96">
        <f>IF(AND($G108&lt;$X108%,$G108&gt;$U108%),$N$5,"")</f>
      </c>
      <c r="O108" s="96">
        <f>IF(AND($G108&lt;Y108%,G108&gt;W108%),$O$5,"")</f>
        <v>4</v>
      </c>
      <c r="P108" s="97">
        <v>0</v>
      </c>
      <c r="Q108" s="98">
        <v>20</v>
      </c>
      <c r="R108" s="99">
        <v>20.0001</v>
      </c>
      <c r="S108" s="100">
        <v>40</v>
      </c>
      <c r="T108" s="100">
        <v>40.0001</v>
      </c>
      <c r="U108" s="100">
        <v>60</v>
      </c>
      <c r="V108" s="100">
        <v>60.0001</v>
      </c>
      <c r="W108" s="100">
        <v>80</v>
      </c>
      <c r="X108" s="100">
        <v>80.0001</v>
      </c>
      <c r="Y108" s="247">
        <v>10000</v>
      </c>
      <c r="Z108" s="255">
        <f t="shared" si="39"/>
        <v>1</v>
      </c>
      <c r="AA108" s="487" t="s">
        <v>397</v>
      </c>
      <c r="AB108" s="488" t="s">
        <v>220</v>
      </c>
      <c r="AC108" s="894" t="s">
        <v>398</v>
      </c>
      <c r="AD108" s="904" t="s">
        <v>417</v>
      </c>
      <c r="AE108" s="875" t="s">
        <v>498</v>
      </c>
      <c r="AF108" s="348"/>
      <c r="AG108" s="1096" t="s">
        <v>304</v>
      </c>
      <c r="AH108" s="1097"/>
      <c r="AI108" s="1097"/>
      <c r="AJ108" s="1097"/>
      <c r="AK108" s="1097"/>
      <c r="AL108" s="1097"/>
      <c r="AM108" s="1097"/>
      <c r="AN108" s="1097"/>
      <c r="AO108" s="1097"/>
      <c r="AP108" s="1097"/>
      <c r="AQ108" s="1097"/>
      <c r="AR108" s="1097"/>
      <c r="AS108" s="1097"/>
      <c r="AT108" s="1097"/>
      <c r="AU108" s="1097"/>
      <c r="AV108" s="1097"/>
      <c r="AW108" s="1097"/>
      <c r="AX108" s="1097"/>
      <c r="AY108" s="1097"/>
      <c r="AZ108" s="1098"/>
      <c r="BA108" s="357">
        <f>IF(E108&gt;F108,"ERROR INPUT","")</f>
      </c>
      <c r="BF108">
        <v>4</v>
      </c>
      <c r="BG108" s="358">
        <f t="shared" si="40"/>
        <v>2</v>
      </c>
      <c r="BH108">
        <f t="shared" si="41"/>
        <v>8</v>
      </c>
      <c r="BI108" s="358">
        <f t="shared" si="42"/>
        <v>8</v>
      </c>
    </row>
    <row r="109" spans="1:61" ht="37.5" customHeight="1" thickBot="1">
      <c r="A109" s="1021"/>
      <c r="B109" s="1032"/>
      <c r="C109" s="378">
        <f t="shared" si="43"/>
        <v>102</v>
      </c>
      <c r="D109" s="837" t="s">
        <v>126</v>
      </c>
      <c r="E109" s="673">
        <v>3373967</v>
      </c>
      <c r="F109" s="384">
        <f>+$E$7</f>
        <v>5517</v>
      </c>
      <c r="G109" s="842">
        <f>IF(E109="","",ROUND(E109/F109,4))</f>
        <v>611.5583</v>
      </c>
      <c r="H109" s="839">
        <f aca="true" t="shared" si="54" ref="H109:H120">IF(E109="","",SUM(K109:O109))</f>
        <v>2</v>
      </c>
      <c r="I109" s="840">
        <v>2</v>
      </c>
      <c r="J109" s="841">
        <f t="shared" si="44"/>
        <v>4</v>
      </c>
      <c r="K109" s="753">
        <f>IF($G109&lt;$R109,$K$5,"")</f>
      </c>
      <c r="L109" s="101">
        <f>IF(AND($G109&lt;$T109,$G109&gt;$Q109),$L$5,"")</f>
      </c>
      <c r="M109" s="101">
        <f>IF(AND($G109&lt;$V109,$G109&gt;$S109),$M$5,"")</f>
        <v>2</v>
      </c>
      <c r="N109" s="101">
        <f>IF(AND($G109&lt;$X109,$G109&gt;$U109),$N$5,"")</f>
      </c>
      <c r="O109" s="101">
        <f>IF(AND($G109&lt;Y109,G109&gt;W109),$O$5,"")</f>
      </c>
      <c r="P109" s="97">
        <v>0</v>
      </c>
      <c r="Q109" s="98">
        <v>0</v>
      </c>
      <c r="R109" s="99">
        <v>1E-05</v>
      </c>
      <c r="S109" s="100">
        <v>499.9999</v>
      </c>
      <c r="T109" s="100">
        <v>500</v>
      </c>
      <c r="U109" s="100">
        <v>999.9999</v>
      </c>
      <c r="V109" s="100">
        <v>1000</v>
      </c>
      <c r="W109" s="100">
        <v>1499.9999</v>
      </c>
      <c r="X109" s="100">
        <v>1500</v>
      </c>
      <c r="Y109" s="247">
        <v>100000000</v>
      </c>
      <c r="Z109" s="255">
        <f t="shared" si="39"/>
        <v>1</v>
      </c>
      <c r="AA109" s="487" t="s">
        <v>397</v>
      </c>
      <c r="AB109" s="488" t="s">
        <v>220</v>
      </c>
      <c r="AC109" s="894" t="s">
        <v>399</v>
      </c>
      <c r="AD109" s="904" t="s">
        <v>417</v>
      </c>
      <c r="AE109" s="875" t="s">
        <v>498</v>
      </c>
      <c r="AF109" s="348"/>
      <c r="AG109" s="1096" t="s">
        <v>304</v>
      </c>
      <c r="AH109" s="1097"/>
      <c r="AI109" s="1097"/>
      <c r="AJ109" s="1097"/>
      <c r="AK109" s="1097"/>
      <c r="AL109" s="1097"/>
      <c r="AM109" s="1097"/>
      <c r="AN109" s="1097"/>
      <c r="AO109" s="1097"/>
      <c r="AP109" s="1097"/>
      <c r="AQ109" s="1097"/>
      <c r="AR109" s="1097"/>
      <c r="AS109" s="1097"/>
      <c r="AT109" s="1097"/>
      <c r="AU109" s="1097"/>
      <c r="AV109" s="1097"/>
      <c r="AW109" s="1097"/>
      <c r="AX109" s="1097"/>
      <c r="AY109" s="1097"/>
      <c r="AZ109" s="1098"/>
      <c r="BA109" s="356"/>
      <c r="BF109">
        <v>4</v>
      </c>
      <c r="BG109" s="358">
        <f t="shared" si="40"/>
        <v>2</v>
      </c>
      <c r="BH109">
        <f t="shared" si="41"/>
        <v>8</v>
      </c>
      <c r="BI109" s="358">
        <f t="shared" si="42"/>
        <v>4</v>
      </c>
    </row>
    <row r="110" spans="1:61" ht="37.5" customHeight="1" thickBot="1">
      <c r="A110" s="1021"/>
      <c r="B110" s="1032"/>
      <c r="C110" s="378">
        <f t="shared" si="43"/>
        <v>103</v>
      </c>
      <c r="D110" s="837" t="s">
        <v>127</v>
      </c>
      <c r="E110" s="843">
        <v>242894968</v>
      </c>
      <c r="F110" s="384">
        <f>+$E$7</f>
        <v>5517</v>
      </c>
      <c r="G110" s="842">
        <f>IF(E110="","",ROUND(E110/F110,4))</f>
        <v>44026.6391</v>
      </c>
      <c r="H110" s="839">
        <f t="shared" si="54"/>
        <v>4</v>
      </c>
      <c r="I110" s="840">
        <v>2</v>
      </c>
      <c r="J110" s="841">
        <f t="shared" si="44"/>
        <v>8</v>
      </c>
      <c r="K110" s="753">
        <f>IF($G110&lt;$R110,$K$5,"")</f>
      </c>
      <c r="L110" s="101">
        <f>IF(AND($G110&lt;$T110,$G110&gt;$Q110),$L$5,"")</f>
      </c>
      <c r="M110" s="101">
        <f>IF(AND($G110&lt;$V110,$G110&gt;$S110),$M$5,"")</f>
      </c>
      <c r="N110" s="101">
        <f>IF(AND($G110&lt;$X110,$G110&gt;$U110),$N$5,"")</f>
      </c>
      <c r="O110" s="101">
        <f>IF(AND($G110&lt;Y110,G110&gt;W110),$O$5,"")</f>
        <v>4</v>
      </c>
      <c r="P110" s="97">
        <v>0</v>
      </c>
      <c r="Q110" s="98">
        <v>199.9999</v>
      </c>
      <c r="R110" s="99">
        <v>200</v>
      </c>
      <c r="S110" s="100">
        <v>399.9999</v>
      </c>
      <c r="T110" s="100">
        <v>400</v>
      </c>
      <c r="U110" s="100">
        <v>599.9999</v>
      </c>
      <c r="V110" s="100">
        <v>600</v>
      </c>
      <c r="W110" s="100">
        <v>799.9999</v>
      </c>
      <c r="X110" s="100">
        <v>800</v>
      </c>
      <c r="Y110" s="247">
        <v>100000000</v>
      </c>
      <c r="Z110" s="255">
        <f t="shared" si="39"/>
        <v>1</v>
      </c>
      <c r="AA110" s="487" t="s">
        <v>397</v>
      </c>
      <c r="AB110" s="488" t="s">
        <v>220</v>
      </c>
      <c r="AC110" s="894" t="s">
        <v>400</v>
      </c>
      <c r="AD110" s="904" t="s">
        <v>417</v>
      </c>
      <c r="AE110" s="875" t="s">
        <v>498</v>
      </c>
      <c r="AF110" s="348"/>
      <c r="AG110" s="1096" t="s">
        <v>304</v>
      </c>
      <c r="AH110" s="1097"/>
      <c r="AI110" s="1097"/>
      <c r="AJ110" s="1097"/>
      <c r="AK110" s="1097"/>
      <c r="AL110" s="1097"/>
      <c r="AM110" s="1097"/>
      <c r="AN110" s="1097"/>
      <c r="AO110" s="1097"/>
      <c r="AP110" s="1097"/>
      <c r="AQ110" s="1097"/>
      <c r="AR110" s="1097"/>
      <c r="AS110" s="1097"/>
      <c r="AT110" s="1097"/>
      <c r="AU110" s="1097"/>
      <c r="AV110" s="1097"/>
      <c r="AW110" s="1097"/>
      <c r="AX110" s="1097"/>
      <c r="AY110" s="1097"/>
      <c r="AZ110" s="1098"/>
      <c r="BA110" s="356"/>
      <c r="BF110">
        <v>4</v>
      </c>
      <c r="BG110" s="358">
        <f t="shared" si="40"/>
        <v>2</v>
      </c>
      <c r="BH110">
        <f t="shared" si="41"/>
        <v>8</v>
      </c>
      <c r="BI110" s="358">
        <f t="shared" si="42"/>
        <v>8</v>
      </c>
    </row>
    <row r="111" spans="1:63" ht="37.5" customHeight="1" thickBot="1">
      <c r="A111" s="1021"/>
      <c r="B111" s="1032"/>
      <c r="C111" s="378">
        <f t="shared" si="43"/>
        <v>104</v>
      </c>
      <c r="D111" s="837" t="s">
        <v>128</v>
      </c>
      <c r="E111" s="1045">
        <v>3</v>
      </c>
      <c r="F111" s="1045"/>
      <c r="G111" s="844">
        <f aca="true" t="shared" si="55" ref="G111:G120">+E111</f>
        <v>3</v>
      </c>
      <c r="H111" s="839">
        <f t="shared" si="54"/>
        <v>3</v>
      </c>
      <c r="I111" s="840">
        <v>2</v>
      </c>
      <c r="J111" s="841">
        <f t="shared" si="44"/>
        <v>6</v>
      </c>
      <c r="K111" s="753">
        <f aca="true" t="shared" si="56" ref="K111:K119">IF($E111&lt;$R111,$K$5,"")</f>
      </c>
      <c r="L111" s="101">
        <f aca="true" t="shared" si="57" ref="L111:L119">IF(AND($E111&lt;$T111,$E111&gt;$Q111),$L$5,"")</f>
      </c>
      <c r="M111" s="101">
        <f aca="true" t="shared" si="58" ref="M111:M119">IF(AND($E111&lt;$V111,$E111&gt;$S111),$M$5,"")</f>
      </c>
      <c r="N111" s="101">
        <f aca="true" t="shared" si="59" ref="N111:N119">IF(AND($E111&lt;$X111,$E111&gt;$U111),$N$5,"")</f>
        <v>3</v>
      </c>
      <c r="O111" s="101">
        <f aca="true" t="shared" si="60" ref="O111:O119">IF(AND($E111&lt;Y111,E111&gt;W111),$O$5,"")</f>
      </c>
      <c r="P111" s="97">
        <v>0</v>
      </c>
      <c r="Q111" s="98">
        <v>0</v>
      </c>
      <c r="R111" s="99">
        <v>1</v>
      </c>
      <c r="S111" s="100">
        <v>1</v>
      </c>
      <c r="T111" s="100">
        <v>2</v>
      </c>
      <c r="U111" s="100">
        <v>2</v>
      </c>
      <c r="V111" s="100">
        <v>3</v>
      </c>
      <c r="W111" s="100">
        <v>3</v>
      </c>
      <c r="X111" s="100">
        <v>4</v>
      </c>
      <c r="Y111" s="247">
        <v>10000</v>
      </c>
      <c r="Z111" s="255">
        <f t="shared" si="39"/>
        <v>1</v>
      </c>
      <c r="AA111" s="489" t="s">
        <v>490</v>
      </c>
      <c r="AB111" s="490" t="s">
        <v>220</v>
      </c>
      <c r="AC111" s="895" t="s">
        <v>401</v>
      </c>
      <c r="AD111" s="904" t="s">
        <v>417</v>
      </c>
      <c r="AE111" s="875" t="s">
        <v>498</v>
      </c>
      <c r="AF111" s="348"/>
      <c r="AG111" s="1096" t="s">
        <v>305</v>
      </c>
      <c r="AH111" s="1097"/>
      <c r="AI111" s="1097"/>
      <c r="AJ111" s="1097"/>
      <c r="AK111" s="1097"/>
      <c r="AL111" s="1097"/>
      <c r="AM111" s="1097"/>
      <c r="AN111" s="1097"/>
      <c r="AO111" s="1097"/>
      <c r="AP111" s="1097"/>
      <c r="AQ111" s="1097"/>
      <c r="AR111" s="1097"/>
      <c r="AS111" s="1097"/>
      <c r="AT111" s="1097"/>
      <c r="AU111" s="1097"/>
      <c r="AV111" s="1097"/>
      <c r="AW111" s="1097"/>
      <c r="AX111" s="1097"/>
      <c r="AY111" s="1097"/>
      <c r="AZ111" s="1098"/>
      <c r="BA111" s="356"/>
      <c r="BF111">
        <v>4</v>
      </c>
      <c r="BG111" s="358">
        <f t="shared" si="40"/>
        <v>2</v>
      </c>
      <c r="BH111">
        <f t="shared" si="41"/>
        <v>8</v>
      </c>
      <c r="BI111" s="358">
        <f t="shared" si="42"/>
        <v>6</v>
      </c>
      <c r="BJ111" s="358">
        <f>SUM(BH108:BH111)</f>
        <v>32</v>
      </c>
      <c r="BK111" s="358">
        <f>SUM(BI108:BI111)</f>
        <v>26</v>
      </c>
    </row>
    <row r="112" spans="1:63" ht="48.75" customHeight="1" thickBot="1">
      <c r="A112" s="1021"/>
      <c r="B112" s="440" t="s">
        <v>23</v>
      </c>
      <c r="C112" s="368">
        <f t="shared" si="43"/>
        <v>105</v>
      </c>
      <c r="D112" s="845" t="s">
        <v>129</v>
      </c>
      <c r="E112" s="1046">
        <v>0</v>
      </c>
      <c r="F112" s="1046"/>
      <c r="G112" s="846">
        <f t="shared" si="55"/>
        <v>0</v>
      </c>
      <c r="H112" s="847">
        <f t="shared" si="54"/>
        <v>0</v>
      </c>
      <c r="I112" s="848">
        <v>2</v>
      </c>
      <c r="J112" s="849">
        <f t="shared" si="44"/>
        <v>0</v>
      </c>
      <c r="K112" s="754">
        <f t="shared" si="56"/>
        <v>0</v>
      </c>
      <c r="L112" s="720">
        <f t="shared" si="57"/>
      </c>
      <c r="M112" s="720">
        <f t="shared" si="58"/>
      </c>
      <c r="N112" s="720">
        <f t="shared" si="59"/>
      </c>
      <c r="O112" s="720">
        <f t="shared" si="60"/>
      </c>
      <c r="P112" s="721">
        <v>0</v>
      </c>
      <c r="Q112" s="722">
        <v>0</v>
      </c>
      <c r="R112" s="723">
        <v>1</v>
      </c>
      <c r="S112" s="724">
        <f>-0.1+100000</f>
        <v>99999.9</v>
      </c>
      <c r="T112" s="724">
        <v>100000</v>
      </c>
      <c r="U112" s="724">
        <f>-0.1+600000</f>
        <v>599999.9</v>
      </c>
      <c r="V112" s="724">
        <v>600000</v>
      </c>
      <c r="W112" s="724">
        <f>-0.1+2000000</f>
        <v>1999999.9</v>
      </c>
      <c r="X112" s="724">
        <v>2000000</v>
      </c>
      <c r="Y112" s="725">
        <v>1000000000</v>
      </c>
      <c r="Z112" s="709">
        <f t="shared" si="39"/>
        <v>0</v>
      </c>
      <c r="AA112" s="726"/>
      <c r="AB112" s="727" t="s">
        <v>220</v>
      </c>
      <c r="AC112" s="896"/>
      <c r="AD112" s="904" t="s">
        <v>396</v>
      </c>
      <c r="AE112" s="876" t="s">
        <v>499</v>
      </c>
      <c r="AF112" s="348"/>
      <c r="AG112" s="1096" t="s">
        <v>306</v>
      </c>
      <c r="AH112" s="1097"/>
      <c r="AI112" s="1097"/>
      <c r="AJ112" s="1097"/>
      <c r="AK112" s="1097"/>
      <c r="AL112" s="1097"/>
      <c r="AM112" s="1097"/>
      <c r="AN112" s="1097"/>
      <c r="AO112" s="1097"/>
      <c r="AP112" s="1097"/>
      <c r="AQ112" s="1097"/>
      <c r="AR112" s="1097"/>
      <c r="AS112" s="1097"/>
      <c r="AT112" s="1097"/>
      <c r="AU112" s="1097"/>
      <c r="AV112" s="1097"/>
      <c r="AW112" s="1097"/>
      <c r="AX112" s="1097"/>
      <c r="AY112" s="1097"/>
      <c r="AZ112" s="1098"/>
      <c r="BA112" s="356"/>
      <c r="BF112">
        <v>4</v>
      </c>
      <c r="BG112" s="358">
        <f t="shared" si="40"/>
        <v>2</v>
      </c>
      <c r="BH112">
        <f t="shared" si="41"/>
        <v>8</v>
      </c>
      <c r="BI112" s="358">
        <f t="shared" si="42"/>
        <v>0</v>
      </c>
      <c r="BJ112">
        <f>+BH112</f>
        <v>8</v>
      </c>
      <c r="BK112">
        <f>+BI112</f>
        <v>0</v>
      </c>
    </row>
    <row r="113" spans="1:61" ht="48" customHeight="1" thickBot="1">
      <c r="A113" s="1020" t="s">
        <v>24</v>
      </c>
      <c r="B113" s="1037" t="s">
        <v>25</v>
      </c>
      <c r="C113" s="324">
        <f t="shared" si="43"/>
        <v>106</v>
      </c>
      <c r="D113" s="850" t="s">
        <v>130</v>
      </c>
      <c r="E113" s="1035">
        <v>0</v>
      </c>
      <c r="F113" s="1035"/>
      <c r="G113" s="851">
        <f t="shared" si="55"/>
        <v>0</v>
      </c>
      <c r="H113" s="852">
        <f t="shared" si="54"/>
        <v>0</v>
      </c>
      <c r="I113" s="853">
        <v>0.5</v>
      </c>
      <c r="J113" s="854">
        <f t="shared" si="44"/>
        <v>0</v>
      </c>
      <c r="K113" s="755">
        <f t="shared" si="56"/>
        <v>0</v>
      </c>
      <c r="L113" s="717">
        <f t="shared" si="57"/>
      </c>
      <c r="M113" s="717">
        <f t="shared" si="58"/>
      </c>
      <c r="N113" s="717">
        <f t="shared" si="59"/>
      </c>
      <c r="O113" s="717">
        <f t="shared" si="60"/>
      </c>
      <c r="P113" s="107">
        <v>0</v>
      </c>
      <c r="Q113" s="108">
        <v>0</v>
      </c>
      <c r="R113" s="109">
        <v>1</v>
      </c>
      <c r="S113" s="78">
        <v>3</v>
      </c>
      <c r="T113" s="78">
        <v>4</v>
      </c>
      <c r="U113" s="78">
        <v>6</v>
      </c>
      <c r="V113" s="78">
        <v>7</v>
      </c>
      <c r="W113" s="78">
        <v>9</v>
      </c>
      <c r="X113" s="78">
        <v>10</v>
      </c>
      <c r="Y113" s="249">
        <v>10000</v>
      </c>
      <c r="Z113" s="255">
        <f t="shared" si="39"/>
        <v>0</v>
      </c>
      <c r="AA113" s="718"/>
      <c r="AB113" s="719" t="s">
        <v>220</v>
      </c>
      <c r="AC113" s="897"/>
      <c r="AD113" s="904" t="s">
        <v>396</v>
      </c>
      <c r="AE113" s="700" t="s">
        <v>499</v>
      </c>
      <c r="AF113" s="348"/>
      <c r="AG113" s="1099" t="s">
        <v>307</v>
      </c>
      <c r="AH113" s="1100"/>
      <c r="AI113" s="1100"/>
      <c r="AJ113" s="1100"/>
      <c r="AK113" s="1100"/>
      <c r="AL113" s="1100"/>
      <c r="AM113" s="1100"/>
      <c r="AN113" s="1100"/>
      <c r="AO113" s="1100"/>
      <c r="AP113" s="1100"/>
      <c r="AQ113" s="1100"/>
      <c r="AR113" s="1100"/>
      <c r="AS113" s="1100"/>
      <c r="AT113" s="1100"/>
      <c r="AU113" s="1100"/>
      <c r="AV113" s="1100"/>
      <c r="AW113" s="1100"/>
      <c r="AX113" s="1100"/>
      <c r="AY113" s="1100"/>
      <c r="AZ113" s="1101"/>
      <c r="BA113" s="356"/>
      <c r="BF113">
        <v>4</v>
      </c>
      <c r="BG113" s="358">
        <f t="shared" si="40"/>
        <v>0.5</v>
      </c>
      <c r="BH113">
        <f t="shared" si="41"/>
        <v>2</v>
      </c>
      <c r="BI113" s="358">
        <f t="shared" si="42"/>
        <v>0</v>
      </c>
    </row>
    <row r="114" spans="1:61" ht="63.75" customHeight="1" thickBot="1">
      <c r="A114" s="1020"/>
      <c r="B114" s="1037"/>
      <c r="C114" s="324">
        <f t="shared" si="43"/>
        <v>107</v>
      </c>
      <c r="D114" s="850" t="s">
        <v>131</v>
      </c>
      <c r="E114" s="1035">
        <v>25</v>
      </c>
      <c r="F114" s="1035"/>
      <c r="G114" s="851">
        <f t="shared" si="55"/>
        <v>25</v>
      </c>
      <c r="H114" s="852">
        <f t="shared" si="54"/>
        <v>4</v>
      </c>
      <c r="I114" s="853">
        <v>0.5</v>
      </c>
      <c r="J114" s="854">
        <f t="shared" si="44"/>
        <v>2</v>
      </c>
      <c r="K114" s="756">
        <f t="shared" si="56"/>
      </c>
      <c r="L114" s="106">
        <f t="shared" si="57"/>
      </c>
      <c r="M114" s="106">
        <f t="shared" si="58"/>
      </c>
      <c r="N114" s="106">
        <f t="shared" si="59"/>
      </c>
      <c r="O114" s="106">
        <f t="shared" si="60"/>
        <v>4</v>
      </c>
      <c r="P114" s="107">
        <v>0</v>
      </c>
      <c r="Q114" s="108">
        <v>0</v>
      </c>
      <c r="R114" s="109">
        <v>1</v>
      </c>
      <c r="S114" s="78">
        <v>3</v>
      </c>
      <c r="T114" s="78">
        <v>4</v>
      </c>
      <c r="U114" s="78">
        <v>6</v>
      </c>
      <c r="V114" s="78">
        <v>7</v>
      </c>
      <c r="W114" s="78">
        <v>9</v>
      </c>
      <c r="X114" s="78">
        <v>10</v>
      </c>
      <c r="Y114" s="249">
        <v>10000</v>
      </c>
      <c r="Z114" s="255">
        <f t="shared" si="39"/>
        <v>1</v>
      </c>
      <c r="AA114" s="495" t="s">
        <v>491</v>
      </c>
      <c r="AB114" s="496" t="s">
        <v>220</v>
      </c>
      <c r="AC114" s="898" t="s">
        <v>464</v>
      </c>
      <c r="AD114" s="904" t="s">
        <v>417</v>
      </c>
      <c r="AE114" s="875" t="s">
        <v>498</v>
      </c>
      <c r="AF114" s="348"/>
      <c r="AG114" s="1099" t="s">
        <v>307</v>
      </c>
      <c r="AH114" s="1100"/>
      <c r="AI114" s="1100"/>
      <c r="AJ114" s="1100"/>
      <c r="AK114" s="1100"/>
      <c r="AL114" s="1100"/>
      <c r="AM114" s="1100"/>
      <c r="AN114" s="1100"/>
      <c r="AO114" s="1100"/>
      <c r="AP114" s="1100"/>
      <c r="AQ114" s="1100"/>
      <c r="AR114" s="1100"/>
      <c r="AS114" s="1100"/>
      <c r="AT114" s="1100"/>
      <c r="AU114" s="1100"/>
      <c r="AV114" s="1100"/>
      <c r="AW114" s="1100"/>
      <c r="AX114" s="1100"/>
      <c r="AY114" s="1100"/>
      <c r="AZ114" s="1101"/>
      <c r="BA114" s="356"/>
      <c r="BF114">
        <v>4</v>
      </c>
      <c r="BG114" s="358">
        <f t="shared" si="40"/>
        <v>0.5</v>
      </c>
      <c r="BH114">
        <f t="shared" si="41"/>
        <v>2</v>
      </c>
      <c r="BI114" s="358">
        <f t="shared" si="42"/>
        <v>2</v>
      </c>
    </row>
    <row r="115" spans="1:63" ht="51" customHeight="1" thickBot="1">
      <c r="A115" s="1020"/>
      <c r="B115" s="1037"/>
      <c r="C115" s="324">
        <f t="shared" si="43"/>
        <v>108</v>
      </c>
      <c r="D115" s="850" t="s">
        <v>132</v>
      </c>
      <c r="E115" s="1035">
        <v>5</v>
      </c>
      <c r="F115" s="1035"/>
      <c r="G115" s="851">
        <f t="shared" si="55"/>
        <v>5</v>
      </c>
      <c r="H115" s="852">
        <f t="shared" si="54"/>
        <v>4</v>
      </c>
      <c r="I115" s="853">
        <v>0.5</v>
      </c>
      <c r="J115" s="854">
        <f t="shared" si="44"/>
        <v>2</v>
      </c>
      <c r="K115" s="756">
        <f t="shared" si="56"/>
      </c>
      <c r="L115" s="106">
        <f t="shared" si="57"/>
      </c>
      <c r="M115" s="106">
        <f t="shared" si="58"/>
      </c>
      <c r="N115" s="106">
        <f t="shared" si="59"/>
      </c>
      <c r="O115" s="106">
        <f t="shared" si="60"/>
        <v>4</v>
      </c>
      <c r="P115" s="107">
        <v>0</v>
      </c>
      <c r="Q115" s="108">
        <v>0</v>
      </c>
      <c r="R115" s="109">
        <v>1</v>
      </c>
      <c r="S115" s="78">
        <v>1</v>
      </c>
      <c r="T115" s="78">
        <v>2</v>
      </c>
      <c r="U115" s="78">
        <v>2</v>
      </c>
      <c r="V115" s="78">
        <v>3</v>
      </c>
      <c r="W115" s="78">
        <v>3</v>
      </c>
      <c r="X115" s="78">
        <v>4</v>
      </c>
      <c r="Y115" s="249">
        <v>10000</v>
      </c>
      <c r="Z115" s="255">
        <f t="shared" si="39"/>
        <v>1</v>
      </c>
      <c r="AA115" s="495" t="s">
        <v>491</v>
      </c>
      <c r="AB115" s="496" t="s">
        <v>220</v>
      </c>
      <c r="AC115" s="898" t="s">
        <v>465</v>
      </c>
      <c r="AD115" s="904" t="s">
        <v>417</v>
      </c>
      <c r="AE115" s="875" t="s">
        <v>498</v>
      </c>
      <c r="AF115" s="348"/>
      <c r="AG115" s="1096" t="s">
        <v>308</v>
      </c>
      <c r="AH115" s="1097"/>
      <c r="AI115" s="1097"/>
      <c r="AJ115" s="1097"/>
      <c r="AK115" s="1097"/>
      <c r="AL115" s="1097"/>
      <c r="AM115" s="1097"/>
      <c r="AN115" s="1097"/>
      <c r="AO115" s="1097"/>
      <c r="AP115" s="1097"/>
      <c r="AQ115" s="1097"/>
      <c r="AR115" s="1097"/>
      <c r="AS115" s="1097"/>
      <c r="AT115" s="1097"/>
      <c r="AU115" s="1097"/>
      <c r="AV115" s="1097"/>
      <c r="AW115" s="1097"/>
      <c r="AX115" s="1097"/>
      <c r="AY115" s="1097"/>
      <c r="AZ115" s="1098"/>
      <c r="BA115" s="356"/>
      <c r="BF115">
        <v>4</v>
      </c>
      <c r="BG115" s="358">
        <f t="shared" si="40"/>
        <v>0.5</v>
      </c>
      <c r="BH115">
        <f t="shared" si="41"/>
        <v>2</v>
      </c>
      <c r="BI115" s="358">
        <f t="shared" si="42"/>
        <v>2</v>
      </c>
      <c r="BJ115" s="358">
        <f>SUM(BH113:BH115)</f>
        <v>6</v>
      </c>
      <c r="BK115" s="358">
        <f>SUM(BI113:BI115)</f>
        <v>4</v>
      </c>
    </row>
    <row r="116" spans="1:61" ht="37.5" customHeight="1" thickBot="1">
      <c r="A116" s="1020" t="s">
        <v>24</v>
      </c>
      <c r="B116" s="1047" t="s">
        <v>26</v>
      </c>
      <c r="C116" s="325">
        <f t="shared" si="43"/>
        <v>109</v>
      </c>
      <c r="D116" s="855" t="s">
        <v>133</v>
      </c>
      <c r="E116" s="1042">
        <v>4</v>
      </c>
      <c r="F116" s="1042"/>
      <c r="G116" s="856">
        <f t="shared" si="55"/>
        <v>4</v>
      </c>
      <c r="H116" s="857">
        <f t="shared" si="54"/>
        <v>4</v>
      </c>
      <c r="I116" s="858">
        <v>0.5</v>
      </c>
      <c r="J116" s="859">
        <f t="shared" si="44"/>
        <v>2</v>
      </c>
      <c r="K116" s="757">
        <f t="shared" si="56"/>
      </c>
      <c r="L116" s="110">
        <f t="shared" si="57"/>
      </c>
      <c r="M116" s="110">
        <f t="shared" si="58"/>
      </c>
      <c r="N116" s="110">
        <f t="shared" si="59"/>
      </c>
      <c r="O116" s="110">
        <f t="shared" si="60"/>
        <v>4</v>
      </c>
      <c r="P116" s="111">
        <v>0</v>
      </c>
      <c r="Q116" s="112">
        <v>0</v>
      </c>
      <c r="R116" s="113">
        <v>1</v>
      </c>
      <c r="S116" s="114">
        <v>1</v>
      </c>
      <c r="T116" s="114">
        <v>2</v>
      </c>
      <c r="U116" s="114">
        <v>2</v>
      </c>
      <c r="V116" s="114">
        <v>3</v>
      </c>
      <c r="W116" s="114">
        <v>3</v>
      </c>
      <c r="X116" s="114">
        <v>4</v>
      </c>
      <c r="Y116" s="250">
        <v>10000</v>
      </c>
      <c r="Z116" s="255">
        <f t="shared" si="39"/>
        <v>1</v>
      </c>
      <c r="AA116" s="497" t="s">
        <v>491</v>
      </c>
      <c r="AB116" s="498" t="s">
        <v>220</v>
      </c>
      <c r="AC116" s="899" t="s">
        <v>466</v>
      </c>
      <c r="AD116" s="904" t="s">
        <v>417</v>
      </c>
      <c r="AE116" s="875" t="s">
        <v>498</v>
      </c>
      <c r="AF116" s="348"/>
      <c r="AG116" s="1099" t="s">
        <v>307</v>
      </c>
      <c r="AH116" s="1100"/>
      <c r="AI116" s="1100"/>
      <c r="AJ116" s="1100"/>
      <c r="AK116" s="1100"/>
      <c r="AL116" s="1100"/>
      <c r="AM116" s="1100"/>
      <c r="AN116" s="1100"/>
      <c r="AO116" s="1100"/>
      <c r="AP116" s="1100"/>
      <c r="AQ116" s="1100"/>
      <c r="AR116" s="1100"/>
      <c r="AS116" s="1100"/>
      <c r="AT116" s="1100"/>
      <c r="AU116" s="1100"/>
      <c r="AV116" s="1100"/>
      <c r="AW116" s="1100"/>
      <c r="AX116" s="1100"/>
      <c r="AY116" s="1100"/>
      <c r="AZ116" s="1101"/>
      <c r="BA116" s="356"/>
      <c r="BF116">
        <v>4</v>
      </c>
      <c r="BG116" s="358">
        <f t="shared" si="40"/>
        <v>0.5</v>
      </c>
      <c r="BH116">
        <f t="shared" si="41"/>
        <v>2</v>
      </c>
      <c r="BI116" s="358">
        <f t="shared" si="42"/>
        <v>2</v>
      </c>
    </row>
    <row r="117" spans="1:61" ht="37.5" customHeight="1" thickBot="1">
      <c r="A117" s="1020"/>
      <c r="B117" s="1047"/>
      <c r="C117" s="325">
        <f t="shared" si="43"/>
        <v>110</v>
      </c>
      <c r="D117" s="855" t="s">
        <v>134</v>
      </c>
      <c r="E117" s="1042">
        <v>1</v>
      </c>
      <c r="F117" s="1042"/>
      <c r="G117" s="856">
        <f t="shared" si="55"/>
        <v>1</v>
      </c>
      <c r="H117" s="857">
        <f t="shared" si="54"/>
        <v>1</v>
      </c>
      <c r="I117" s="858">
        <v>0.5</v>
      </c>
      <c r="J117" s="859">
        <f t="shared" si="44"/>
        <v>0.5</v>
      </c>
      <c r="K117" s="757">
        <f t="shared" si="56"/>
      </c>
      <c r="L117" s="110">
        <f t="shared" si="57"/>
        <v>1</v>
      </c>
      <c r="M117" s="110">
        <f t="shared" si="58"/>
      </c>
      <c r="N117" s="110">
        <f t="shared" si="59"/>
      </c>
      <c r="O117" s="110">
        <f t="shared" si="60"/>
      </c>
      <c r="P117" s="111">
        <v>0</v>
      </c>
      <c r="Q117" s="112">
        <v>0</v>
      </c>
      <c r="R117" s="113">
        <v>1</v>
      </c>
      <c r="S117" s="114">
        <v>1</v>
      </c>
      <c r="T117" s="114">
        <v>2</v>
      </c>
      <c r="U117" s="114">
        <v>2</v>
      </c>
      <c r="V117" s="114">
        <v>3</v>
      </c>
      <c r="W117" s="114">
        <v>3</v>
      </c>
      <c r="X117" s="114">
        <v>4</v>
      </c>
      <c r="Y117" s="250">
        <v>10000</v>
      </c>
      <c r="Z117" s="255">
        <f t="shared" si="39"/>
        <v>1</v>
      </c>
      <c r="AA117" s="497" t="s">
        <v>491</v>
      </c>
      <c r="AB117" s="498" t="s">
        <v>220</v>
      </c>
      <c r="AC117" s="899" t="s">
        <v>467</v>
      </c>
      <c r="AD117" s="904" t="s">
        <v>417</v>
      </c>
      <c r="AE117" s="875" t="s">
        <v>498</v>
      </c>
      <c r="AF117" s="348"/>
      <c r="AG117" s="1096" t="s">
        <v>309</v>
      </c>
      <c r="AH117" s="1097"/>
      <c r="AI117" s="1097"/>
      <c r="AJ117" s="1097"/>
      <c r="AK117" s="1097"/>
      <c r="AL117" s="1097"/>
      <c r="AM117" s="1097"/>
      <c r="AN117" s="1097"/>
      <c r="AO117" s="1097"/>
      <c r="AP117" s="1097"/>
      <c r="AQ117" s="1097"/>
      <c r="AR117" s="1097"/>
      <c r="AS117" s="1097"/>
      <c r="AT117" s="1097"/>
      <c r="AU117" s="1097"/>
      <c r="AV117" s="1097"/>
      <c r="AW117" s="1097"/>
      <c r="AX117" s="1097"/>
      <c r="AY117" s="1097"/>
      <c r="AZ117" s="1098"/>
      <c r="BA117" s="356"/>
      <c r="BF117">
        <v>4</v>
      </c>
      <c r="BG117" s="358">
        <f t="shared" si="40"/>
        <v>0.5</v>
      </c>
      <c r="BH117">
        <f t="shared" si="41"/>
        <v>2</v>
      </c>
      <c r="BI117" s="358">
        <f t="shared" si="42"/>
        <v>0.5</v>
      </c>
    </row>
    <row r="118" spans="1:61" ht="48.75" customHeight="1" thickBot="1">
      <c r="A118" s="1020"/>
      <c r="B118" s="1047"/>
      <c r="C118" s="325">
        <f t="shared" si="43"/>
        <v>111</v>
      </c>
      <c r="D118" s="855" t="s">
        <v>135</v>
      </c>
      <c r="E118" s="1042">
        <v>175</v>
      </c>
      <c r="F118" s="1042"/>
      <c r="G118" s="856">
        <f t="shared" si="55"/>
        <v>175</v>
      </c>
      <c r="H118" s="857">
        <f t="shared" si="54"/>
        <v>2</v>
      </c>
      <c r="I118" s="858">
        <v>0.5</v>
      </c>
      <c r="J118" s="859">
        <f t="shared" si="44"/>
        <v>1</v>
      </c>
      <c r="K118" s="757">
        <f t="shared" si="56"/>
      </c>
      <c r="L118" s="110">
        <f t="shared" si="57"/>
      </c>
      <c r="M118" s="110">
        <f t="shared" si="58"/>
        <v>2</v>
      </c>
      <c r="N118" s="110">
        <f t="shared" si="59"/>
      </c>
      <c r="O118" s="110">
        <f t="shared" si="60"/>
      </c>
      <c r="P118" s="111">
        <v>0</v>
      </c>
      <c r="Q118" s="112">
        <v>0</v>
      </c>
      <c r="R118" s="113">
        <v>1</v>
      </c>
      <c r="S118" s="114">
        <v>100</v>
      </c>
      <c r="T118" s="114">
        <v>101</v>
      </c>
      <c r="U118" s="114">
        <v>200</v>
      </c>
      <c r="V118" s="114">
        <v>201</v>
      </c>
      <c r="W118" s="114">
        <v>499</v>
      </c>
      <c r="X118" s="114">
        <v>500</v>
      </c>
      <c r="Y118" s="250">
        <v>10000</v>
      </c>
      <c r="Z118" s="255">
        <f t="shared" si="39"/>
        <v>1</v>
      </c>
      <c r="AA118" s="497" t="s">
        <v>491</v>
      </c>
      <c r="AB118" s="498" t="s">
        <v>220</v>
      </c>
      <c r="AC118" s="899" t="s">
        <v>468</v>
      </c>
      <c r="AD118" s="904" t="s">
        <v>417</v>
      </c>
      <c r="AE118" s="875" t="s">
        <v>500</v>
      </c>
      <c r="AF118" s="348"/>
      <c r="AG118" s="1096" t="s">
        <v>310</v>
      </c>
      <c r="AH118" s="1097"/>
      <c r="AI118" s="1097"/>
      <c r="AJ118" s="1097"/>
      <c r="AK118" s="1097"/>
      <c r="AL118" s="1097"/>
      <c r="AM118" s="1097"/>
      <c r="AN118" s="1097"/>
      <c r="AO118" s="1097"/>
      <c r="AP118" s="1097"/>
      <c r="AQ118" s="1097"/>
      <c r="AR118" s="1097"/>
      <c r="AS118" s="1097"/>
      <c r="AT118" s="1097"/>
      <c r="AU118" s="1097"/>
      <c r="AV118" s="1097"/>
      <c r="AW118" s="1097"/>
      <c r="AX118" s="1097"/>
      <c r="AY118" s="1097"/>
      <c r="AZ118" s="1098"/>
      <c r="BA118" s="356"/>
      <c r="BF118">
        <v>4</v>
      </c>
      <c r="BG118" s="358">
        <f t="shared" si="40"/>
        <v>0.5</v>
      </c>
      <c r="BH118">
        <f t="shared" si="41"/>
        <v>2</v>
      </c>
      <c r="BI118" s="358">
        <f t="shared" si="42"/>
        <v>1</v>
      </c>
    </row>
    <row r="119" spans="1:61" ht="67.5" customHeight="1" thickBot="1">
      <c r="A119" s="1020"/>
      <c r="B119" s="1047"/>
      <c r="C119" s="325">
        <f t="shared" si="43"/>
        <v>112</v>
      </c>
      <c r="D119" s="855" t="s">
        <v>136</v>
      </c>
      <c r="E119" s="1042">
        <v>8</v>
      </c>
      <c r="F119" s="1042"/>
      <c r="G119" s="856">
        <f t="shared" si="55"/>
        <v>8</v>
      </c>
      <c r="H119" s="857">
        <f t="shared" si="54"/>
        <v>4</v>
      </c>
      <c r="I119" s="858">
        <v>0.5</v>
      </c>
      <c r="J119" s="859">
        <f t="shared" si="44"/>
        <v>2</v>
      </c>
      <c r="K119" s="757">
        <f t="shared" si="56"/>
      </c>
      <c r="L119" s="110">
        <f t="shared" si="57"/>
      </c>
      <c r="M119" s="110">
        <f t="shared" si="58"/>
      </c>
      <c r="N119" s="110">
        <f t="shared" si="59"/>
      </c>
      <c r="O119" s="110">
        <f t="shared" si="60"/>
        <v>4</v>
      </c>
      <c r="P119" s="111">
        <v>0</v>
      </c>
      <c r="Q119" s="112">
        <v>0</v>
      </c>
      <c r="R119" s="113">
        <v>1</v>
      </c>
      <c r="S119" s="114">
        <v>2</v>
      </c>
      <c r="T119" s="114">
        <v>3</v>
      </c>
      <c r="U119" s="114">
        <v>4</v>
      </c>
      <c r="V119" s="114">
        <v>5</v>
      </c>
      <c r="W119" s="114">
        <v>6</v>
      </c>
      <c r="X119" s="114">
        <v>7</v>
      </c>
      <c r="Y119" s="250">
        <v>10000</v>
      </c>
      <c r="Z119" s="255">
        <f t="shared" si="39"/>
        <v>1</v>
      </c>
      <c r="AA119" s="497" t="s">
        <v>491</v>
      </c>
      <c r="AB119" s="498" t="s">
        <v>220</v>
      </c>
      <c r="AC119" s="899" t="s">
        <v>469</v>
      </c>
      <c r="AD119" s="904" t="s">
        <v>417</v>
      </c>
      <c r="AE119" s="875" t="s">
        <v>498</v>
      </c>
      <c r="AF119" s="348"/>
      <c r="AG119" s="1105" t="s">
        <v>311</v>
      </c>
      <c r="AH119" s="1106"/>
      <c r="AI119" s="1106"/>
      <c r="AJ119" s="1106"/>
      <c r="AK119" s="1106"/>
      <c r="AL119" s="1106"/>
      <c r="AM119" s="1106"/>
      <c r="AN119" s="1106"/>
      <c r="AO119" s="1106"/>
      <c r="AP119" s="1106"/>
      <c r="AQ119" s="1106"/>
      <c r="AR119" s="1106"/>
      <c r="AS119" s="1106"/>
      <c r="AT119" s="1106"/>
      <c r="AU119" s="1106"/>
      <c r="AV119" s="1106"/>
      <c r="AW119" s="1106"/>
      <c r="AX119" s="1106"/>
      <c r="AY119" s="1106"/>
      <c r="AZ119" s="1107"/>
      <c r="BA119" s="356"/>
      <c r="BF119">
        <v>4</v>
      </c>
      <c r="BG119" s="358">
        <f t="shared" si="40"/>
        <v>0.5</v>
      </c>
      <c r="BH119">
        <f t="shared" si="41"/>
        <v>2</v>
      </c>
      <c r="BI119" s="358">
        <f t="shared" si="42"/>
        <v>2</v>
      </c>
    </row>
    <row r="120" spans="1:61" ht="53.25" customHeight="1" thickBot="1">
      <c r="A120" s="1020"/>
      <c r="B120" s="1047"/>
      <c r="C120" s="325">
        <f t="shared" si="43"/>
        <v>113</v>
      </c>
      <c r="D120" s="855" t="s">
        <v>137</v>
      </c>
      <c r="E120" s="1042" t="s">
        <v>497</v>
      </c>
      <c r="F120" s="1042"/>
      <c r="G120" s="856" t="str">
        <f t="shared" si="55"/>
        <v>No</v>
      </c>
      <c r="H120" s="857">
        <f t="shared" si="54"/>
        <v>0</v>
      </c>
      <c r="I120" s="858">
        <v>1</v>
      </c>
      <c r="J120" s="859">
        <f t="shared" si="44"/>
        <v>0</v>
      </c>
      <c r="K120" s="758">
        <f>IF(OR(E120="",E120="NO"),$K$5,"")</f>
        <v>0</v>
      </c>
      <c r="L120" s="67">
        <f aca="true" t="shared" si="61" ref="L120:L127">IF(AND($G120&lt;$T120%,$G120&gt;$Q120%),$L$5,"")</f>
      </c>
      <c r="M120" s="67">
        <f aca="true" t="shared" si="62" ref="M120:M127">IF(AND($G120&lt;$V120%,$G120&gt;$S120%),$M$5,"")</f>
      </c>
      <c r="N120" s="67">
        <f aca="true" t="shared" si="63" ref="N120:N127">IF(AND($G120&lt;$X120%,$G120&gt;$U120%),$N$5,"")</f>
      </c>
      <c r="O120" s="67">
        <f>IF(E120="YES",$O$5,"")</f>
      </c>
      <c r="P120" s="14"/>
      <c r="Q120" s="14"/>
      <c r="R120" s="20"/>
      <c r="S120" s="20"/>
      <c r="T120" s="14"/>
      <c r="U120" s="14"/>
      <c r="V120" s="14"/>
      <c r="W120" s="14"/>
      <c r="X120" s="14"/>
      <c r="Y120" s="251"/>
      <c r="Z120" s="255">
        <f t="shared" si="39"/>
        <v>0</v>
      </c>
      <c r="AA120" s="497"/>
      <c r="AB120" s="498" t="s">
        <v>220</v>
      </c>
      <c r="AC120" s="899"/>
      <c r="AD120" s="904" t="s">
        <v>396</v>
      </c>
      <c r="AE120" s="875" t="s">
        <v>499</v>
      </c>
      <c r="AF120" s="348"/>
      <c r="AG120" s="1099" t="s">
        <v>307</v>
      </c>
      <c r="AH120" s="1100"/>
      <c r="AI120" s="1100"/>
      <c r="AJ120" s="1100"/>
      <c r="AK120" s="1100"/>
      <c r="AL120" s="1100"/>
      <c r="AM120" s="1100"/>
      <c r="AN120" s="1100"/>
      <c r="AO120" s="1100"/>
      <c r="AP120" s="1100"/>
      <c r="AQ120" s="1100"/>
      <c r="AR120" s="1100"/>
      <c r="AS120" s="1100"/>
      <c r="AT120" s="1100"/>
      <c r="AU120" s="1100"/>
      <c r="AV120" s="1100"/>
      <c r="AW120" s="1100"/>
      <c r="AX120" s="1100"/>
      <c r="AY120" s="1100"/>
      <c r="AZ120" s="1101"/>
      <c r="BA120" s="356"/>
      <c r="BF120">
        <v>4</v>
      </c>
      <c r="BG120" s="358">
        <f t="shared" si="40"/>
        <v>1</v>
      </c>
      <c r="BH120">
        <f t="shared" si="41"/>
        <v>4</v>
      </c>
      <c r="BI120" s="358">
        <f t="shared" si="42"/>
        <v>0</v>
      </c>
    </row>
    <row r="121" spans="1:61" ht="54.75" customHeight="1" thickBot="1">
      <c r="A121" s="1020" t="s">
        <v>24</v>
      </c>
      <c r="B121" s="1047" t="s">
        <v>26</v>
      </c>
      <c r="C121" s="325">
        <f t="shared" si="43"/>
        <v>114</v>
      </c>
      <c r="D121" s="855" t="s">
        <v>138</v>
      </c>
      <c r="E121" s="860">
        <v>0</v>
      </c>
      <c r="F121" s="217">
        <f>+$E$7</f>
        <v>5517</v>
      </c>
      <c r="G121" s="861">
        <f>IF(E121="","",ROUND(E121/F121,4))</f>
        <v>0</v>
      </c>
      <c r="H121" s="857">
        <f>IF(OR(E121="",F121="",F121=0),"",SUM(K121:O121))</f>
        <v>0</v>
      </c>
      <c r="I121" s="858">
        <v>0.5</v>
      </c>
      <c r="J121" s="859">
        <f t="shared" si="44"/>
        <v>0</v>
      </c>
      <c r="K121" s="759">
        <f>IF($G121&lt;$R121%,$K$5,"")</f>
        <v>0</v>
      </c>
      <c r="L121" s="28">
        <f t="shared" si="61"/>
      </c>
      <c r="M121" s="28">
        <f t="shared" si="62"/>
      </c>
      <c r="N121" s="28">
        <f t="shared" si="63"/>
      </c>
      <c r="O121" s="28">
        <f>IF(AND($G121&lt;Y121%,G121&gt;W121%),$O$5,"")</f>
      </c>
      <c r="P121" s="111">
        <v>0</v>
      </c>
      <c r="Q121" s="112">
        <v>0</v>
      </c>
      <c r="R121" s="113">
        <v>1E-05</v>
      </c>
      <c r="S121" s="114">
        <v>9.9999</v>
      </c>
      <c r="T121" s="114">
        <v>10</v>
      </c>
      <c r="U121" s="114">
        <v>19.9999</v>
      </c>
      <c r="V121" s="114">
        <v>20</v>
      </c>
      <c r="W121" s="114">
        <v>29.9999</v>
      </c>
      <c r="X121" s="114">
        <v>30</v>
      </c>
      <c r="Y121" s="250">
        <v>10000</v>
      </c>
      <c r="Z121" s="255">
        <f t="shared" si="39"/>
        <v>0</v>
      </c>
      <c r="AA121" s="497"/>
      <c r="AB121" s="498" t="s">
        <v>220</v>
      </c>
      <c r="AC121" s="899"/>
      <c r="AD121" s="904" t="s">
        <v>396</v>
      </c>
      <c r="AE121" s="875" t="s">
        <v>499</v>
      </c>
      <c r="AF121" s="348"/>
      <c r="AG121" s="1099" t="s">
        <v>312</v>
      </c>
      <c r="AH121" s="1100"/>
      <c r="AI121" s="1100"/>
      <c r="AJ121" s="1100"/>
      <c r="AK121" s="1100"/>
      <c r="AL121" s="1100"/>
      <c r="AM121" s="1100"/>
      <c r="AN121" s="1100"/>
      <c r="AO121" s="1100"/>
      <c r="AP121" s="1100"/>
      <c r="AQ121" s="1100"/>
      <c r="AR121" s="1100"/>
      <c r="AS121" s="1100"/>
      <c r="AT121" s="1100"/>
      <c r="AU121" s="1100"/>
      <c r="AV121" s="1100"/>
      <c r="AW121" s="1100"/>
      <c r="AX121" s="1100"/>
      <c r="AY121" s="1100"/>
      <c r="AZ121" s="1101"/>
      <c r="BA121" s="357">
        <f>IF(E121&gt;F121,"ERROR INPUT","")</f>
      </c>
      <c r="BF121">
        <v>4</v>
      </c>
      <c r="BG121" s="358">
        <f t="shared" si="40"/>
        <v>0.5</v>
      </c>
      <c r="BH121">
        <f t="shared" si="41"/>
        <v>2</v>
      </c>
      <c r="BI121" s="358">
        <f t="shared" si="42"/>
        <v>0</v>
      </c>
    </row>
    <row r="122" spans="1:61" ht="52.5" customHeight="1" thickBot="1">
      <c r="A122" s="1020"/>
      <c r="B122" s="1047"/>
      <c r="C122" s="325">
        <f t="shared" si="43"/>
        <v>115</v>
      </c>
      <c r="D122" s="855" t="s">
        <v>139</v>
      </c>
      <c r="E122" s="1042" t="s">
        <v>417</v>
      </c>
      <c r="F122" s="1042"/>
      <c r="G122" s="856" t="str">
        <f>+E122</f>
        <v>YES</v>
      </c>
      <c r="H122" s="857">
        <f>IF(E122="","",SUM(K122:O122))</f>
        <v>4</v>
      </c>
      <c r="I122" s="858">
        <v>0.5</v>
      </c>
      <c r="J122" s="859">
        <f t="shared" si="44"/>
        <v>2</v>
      </c>
      <c r="K122" s="758">
        <f>IF(OR(E122="",E122="NO"),$K$5,"")</f>
      </c>
      <c r="L122" s="67">
        <f t="shared" si="61"/>
      </c>
      <c r="M122" s="67">
        <f t="shared" si="62"/>
      </c>
      <c r="N122" s="67">
        <f t="shared" si="63"/>
      </c>
      <c r="O122" s="67">
        <f>IF(E122="YES",$O$5,"")</f>
        <v>4</v>
      </c>
      <c r="P122" s="14"/>
      <c r="Q122" s="14"/>
      <c r="R122" s="20"/>
      <c r="S122" s="20"/>
      <c r="T122" s="14"/>
      <c r="U122" s="14"/>
      <c r="V122" s="14"/>
      <c r="W122" s="14"/>
      <c r="X122" s="14"/>
      <c r="Y122" s="251"/>
      <c r="Z122" s="255">
        <f t="shared" si="39"/>
        <v>1</v>
      </c>
      <c r="AA122" s="497" t="s">
        <v>492</v>
      </c>
      <c r="AB122" s="498" t="s">
        <v>220</v>
      </c>
      <c r="AC122" s="899" t="s">
        <v>470</v>
      </c>
      <c r="AD122" s="904" t="s">
        <v>417</v>
      </c>
      <c r="AE122" s="875" t="s">
        <v>498</v>
      </c>
      <c r="AF122" s="348"/>
      <c r="AG122" s="1096" t="s">
        <v>313</v>
      </c>
      <c r="AH122" s="1097"/>
      <c r="AI122" s="1097"/>
      <c r="AJ122" s="1097"/>
      <c r="AK122" s="1097"/>
      <c r="AL122" s="1097"/>
      <c r="AM122" s="1097"/>
      <c r="AN122" s="1097"/>
      <c r="AO122" s="1097"/>
      <c r="AP122" s="1097"/>
      <c r="AQ122" s="1097"/>
      <c r="AR122" s="1097"/>
      <c r="AS122" s="1097"/>
      <c r="AT122" s="1097"/>
      <c r="AU122" s="1097"/>
      <c r="AV122" s="1097"/>
      <c r="AW122" s="1097"/>
      <c r="AX122" s="1097"/>
      <c r="AY122" s="1097"/>
      <c r="AZ122" s="1098"/>
      <c r="BA122" s="356"/>
      <c r="BF122">
        <v>4</v>
      </c>
      <c r="BG122" s="358">
        <f t="shared" si="40"/>
        <v>0.5</v>
      </c>
      <c r="BH122">
        <f t="shared" si="41"/>
        <v>2</v>
      </c>
      <c r="BI122" s="358">
        <f t="shared" si="42"/>
        <v>2</v>
      </c>
    </row>
    <row r="123" spans="1:63" ht="51.75" customHeight="1" thickBot="1">
      <c r="A123" s="1020"/>
      <c r="B123" s="1047"/>
      <c r="C123" s="325">
        <f t="shared" si="43"/>
        <v>116</v>
      </c>
      <c r="D123" s="855" t="s">
        <v>140</v>
      </c>
      <c r="E123" s="1042" t="s">
        <v>396</v>
      </c>
      <c r="F123" s="1042"/>
      <c r="G123" s="856" t="str">
        <f>+E123</f>
        <v>NO</v>
      </c>
      <c r="H123" s="857">
        <f>IF(E123="","",SUM(K123:O123))</f>
        <v>0</v>
      </c>
      <c r="I123" s="858">
        <v>0.5</v>
      </c>
      <c r="J123" s="859">
        <f t="shared" si="44"/>
        <v>0</v>
      </c>
      <c r="K123" s="758">
        <f>IF(OR(E123="",E123="NO"),$K$5,"")</f>
        <v>0</v>
      </c>
      <c r="L123" s="67">
        <f t="shared" si="61"/>
      </c>
      <c r="M123" s="67">
        <f t="shared" si="62"/>
      </c>
      <c r="N123" s="67">
        <f t="shared" si="63"/>
      </c>
      <c r="O123" s="67">
        <f>IF(E123="YES",$O$5,"")</f>
      </c>
      <c r="P123" s="14"/>
      <c r="Q123" s="14"/>
      <c r="R123" s="20"/>
      <c r="S123" s="20"/>
      <c r="T123" s="14"/>
      <c r="U123" s="14"/>
      <c r="V123" s="14"/>
      <c r="W123" s="14"/>
      <c r="X123" s="14"/>
      <c r="Y123" s="251"/>
      <c r="Z123" s="255">
        <f t="shared" si="39"/>
        <v>0</v>
      </c>
      <c r="AA123" s="499"/>
      <c r="AB123" s="500" t="s">
        <v>220</v>
      </c>
      <c r="AC123" s="900"/>
      <c r="AD123" s="904" t="s">
        <v>396</v>
      </c>
      <c r="AE123" s="875" t="s">
        <v>499</v>
      </c>
      <c r="AF123" s="348"/>
      <c r="AG123" s="1096" t="s">
        <v>314</v>
      </c>
      <c r="AH123" s="1097"/>
      <c r="AI123" s="1097"/>
      <c r="AJ123" s="1097"/>
      <c r="AK123" s="1097"/>
      <c r="AL123" s="1097"/>
      <c r="AM123" s="1097"/>
      <c r="AN123" s="1097"/>
      <c r="AO123" s="1097"/>
      <c r="AP123" s="1097"/>
      <c r="AQ123" s="1097"/>
      <c r="AR123" s="1097"/>
      <c r="AS123" s="1097"/>
      <c r="AT123" s="1097"/>
      <c r="AU123" s="1097"/>
      <c r="AV123" s="1097"/>
      <c r="AW123" s="1097"/>
      <c r="AX123" s="1097"/>
      <c r="AY123" s="1097"/>
      <c r="AZ123" s="1098"/>
      <c r="BA123" s="356"/>
      <c r="BF123">
        <v>4</v>
      </c>
      <c r="BG123" s="358">
        <f t="shared" si="40"/>
        <v>0.5</v>
      </c>
      <c r="BH123">
        <f t="shared" si="41"/>
        <v>2</v>
      </c>
      <c r="BI123" s="358">
        <f t="shared" si="42"/>
        <v>0</v>
      </c>
      <c r="BJ123" s="358">
        <f>SUM(BH116:BH123)</f>
        <v>18</v>
      </c>
      <c r="BK123" s="358">
        <f>SUM(BI116:BI123)</f>
        <v>7.5</v>
      </c>
    </row>
    <row r="124" spans="1:61" ht="66.75" customHeight="1" thickBot="1">
      <c r="A124" s="1020"/>
      <c r="B124" s="1119" t="s">
        <v>27</v>
      </c>
      <c r="C124" s="326">
        <f t="shared" si="43"/>
        <v>117</v>
      </c>
      <c r="D124" s="862" t="s">
        <v>188</v>
      </c>
      <c r="E124" s="1044" t="s">
        <v>463</v>
      </c>
      <c r="F124" s="1044"/>
      <c r="G124" s="863" t="str">
        <f>+E124</f>
        <v>No Pendency</v>
      </c>
      <c r="H124" s="864">
        <f>IF(E124="","",SUM(K124:O124))</f>
        <v>4</v>
      </c>
      <c r="I124" s="865">
        <v>1</v>
      </c>
      <c r="J124" s="866">
        <f t="shared" si="44"/>
        <v>4</v>
      </c>
      <c r="K124" s="760">
        <f>IF(OR(E124="",E124="YES PENDENCY"),$K$5,"")</f>
      </c>
      <c r="L124" s="68">
        <f t="shared" si="61"/>
      </c>
      <c r="M124" s="68">
        <f t="shared" si="62"/>
      </c>
      <c r="N124" s="68">
        <f t="shared" si="63"/>
      </c>
      <c r="O124" s="68">
        <f>IF(E124="NO PENDENCY",$O$5,"")</f>
        <v>4</v>
      </c>
      <c r="P124" s="15"/>
      <c r="Q124" s="15"/>
      <c r="R124" s="21"/>
      <c r="S124" s="21"/>
      <c r="T124" s="15"/>
      <c r="U124" s="15"/>
      <c r="V124" s="15"/>
      <c r="W124" s="15"/>
      <c r="X124" s="15"/>
      <c r="Y124" s="252"/>
      <c r="Z124" s="255">
        <f t="shared" si="39"/>
        <v>1</v>
      </c>
      <c r="AA124" s="438" t="s">
        <v>493</v>
      </c>
      <c r="AB124" s="439" t="s">
        <v>220</v>
      </c>
      <c r="AC124" s="901" t="s">
        <v>471</v>
      </c>
      <c r="AD124" s="904" t="s">
        <v>417</v>
      </c>
      <c r="AE124" s="875" t="s">
        <v>498</v>
      </c>
      <c r="AF124" s="348"/>
      <c r="AG124" s="1096" t="s">
        <v>315</v>
      </c>
      <c r="AH124" s="1097"/>
      <c r="AI124" s="1097"/>
      <c r="AJ124" s="1097"/>
      <c r="AK124" s="1097"/>
      <c r="AL124" s="1097"/>
      <c r="AM124" s="1097"/>
      <c r="AN124" s="1097"/>
      <c r="AO124" s="1097"/>
      <c r="AP124" s="1097"/>
      <c r="AQ124" s="1097"/>
      <c r="AR124" s="1097"/>
      <c r="AS124" s="1097"/>
      <c r="AT124" s="1097"/>
      <c r="AU124" s="1097"/>
      <c r="AV124" s="1097"/>
      <c r="AW124" s="1097"/>
      <c r="AX124" s="1097"/>
      <c r="AY124" s="1097"/>
      <c r="AZ124" s="1098"/>
      <c r="BA124" s="356"/>
      <c r="BF124">
        <v>4</v>
      </c>
      <c r="BG124" s="358">
        <f t="shared" si="40"/>
        <v>1</v>
      </c>
      <c r="BH124">
        <f t="shared" si="41"/>
        <v>4</v>
      </c>
      <c r="BI124" s="358">
        <f t="shared" si="42"/>
        <v>4</v>
      </c>
    </row>
    <row r="125" spans="1:61" ht="66" customHeight="1" thickBot="1">
      <c r="A125" s="1020"/>
      <c r="B125" s="1119"/>
      <c r="C125" s="326">
        <f t="shared" si="43"/>
        <v>118</v>
      </c>
      <c r="D125" s="862" t="s">
        <v>141</v>
      </c>
      <c r="E125" s="672">
        <v>0</v>
      </c>
      <c r="F125" s="218">
        <f>+$E$7</f>
        <v>5517</v>
      </c>
      <c r="G125" s="867">
        <f>IF(E125="","",ROUND(E125/F125,4))</f>
        <v>0</v>
      </c>
      <c r="H125" s="864">
        <f>IF(OR(E125="",F125="",F125=0),"",SUM(K125:O125))</f>
        <v>0</v>
      </c>
      <c r="I125" s="865">
        <v>0.5</v>
      </c>
      <c r="J125" s="866">
        <f t="shared" si="44"/>
        <v>0</v>
      </c>
      <c r="K125" s="761">
        <f>IF($G125&lt;$R125%,$K$5,"")</f>
        <v>0</v>
      </c>
      <c r="L125" s="29">
        <f t="shared" si="61"/>
      </c>
      <c r="M125" s="29">
        <f t="shared" si="62"/>
      </c>
      <c r="N125" s="29">
        <f t="shared" si="63"/>
      </c>
      <c r="O125" s="29">
        <f>IF(AND($G125&lt;Y125%,G125&gt;W125%),$O$5,"")</f>
      </c>
      <c r="P125" s="115">
        <v>0</v>
      </c>
      <c r="Q125" s="115">
        <v>0</v>
      </c>
      <c r="R125" s="116">
        <v>0.0001</v>
      </c>
      <c r="S125" s="116">
        <v>1.9999</v>
      </c>
      <c r="T125" s="116">
        <v>2</v>
      </c>
      <c r="U125" s="116">
        <v>3.9999</v>
      </c>
      <c r="V125" s="116">
        <v>4</v>
      </c>
      <c r="W125" s="116">
        <v>5.9999</v>
      </c>
      <c r="X125" s="116">
        <v>6</v>
      </c>
      <c r="Y125" s="253">
        <v>10000</v>
      </c>
      <c r="Z125" s="255">
        <f t="shared" si="39"/>
        <v>0</v>
      </c>
      <c r="AA125" s="438"/>
      <c r="AB125" s="439" t="s">
        <v>220</v>
      </c>
      <c r="AC125" s="901"/>
      <c r="AD125" s="904" t="s">
        <v>396</v>
      </c>
      <c r="AE125" s="875" t="s">
        <v>499</v>
      </c>
      <c r="AF125" s="348"/>
      <c r="AG125" s="1099" t="s">
        <v>316</v>
      </c>
      <c r="AH125" s="1100"/>
      <c r="AI125" s="1100"/>
      <c r="AJ125" s="1100"/>
      <c r="AK125" s="1100"/>
      <c r="AL125" s="1100"/>
      <c r="AM125" s="1100"/>
      <c r="AN125" s="1100"/>
      <c r="AO125" s="1100"/>
      <c r="AP125" s="1100"/>
      <c r="AQ125" s="1100"/>
      <c r="AR125" s="1100"/>
      <c r="AS125" s="1100"/>
      <c r="AT125" s="1100"/>
      <c r="AU125" s="1100"/>
      <c r="AV125" s="1100"/>
      <c r="AW125" s="1100"/>
      <c r="AX125" s="1100"/>
      <c r="AY125" s="1100"/>
      <c r="AZ125" s="1101"/>
      <c r="BA125" s="357">
        <f>IF(E125&gt;F125,"ERROR INPUT","")</f>
      </c>
      <c r="BF125">
        <v>4</v>
      </c>
      <c r="BG125" s="358">
        <f t="shared" si="40"/>
        <v>0.5</v>
      </c>
      <c r="BH125">
        <f t="shared" si="41"/>
        <v>2</v>
      </c>
      <c r="BI125" s="358">
        <f t="shared" si="42"/>
        <v>0</v>
      </c>
    </row>
    <row r="126" spans="1:61" ht="37.5" customHeight="1" thickBot="1">
      <c r="A126" s="1020"/>
      <c r="B126" s="1119"/>
      <c r="C126" s="326">
        <f t="shared" si="43"/>
        <v>119</v>
      </c>
      <c r="D126" s="862" t="s">
        <v>142</v>
      </c>
      <c r="E126" s="672">
        <v>1500</v>
      </c>
      <c r="F126" s="218">
        <f>+$E$7</f>
        <v>5517</v>
      </c>
      <c r="G126" s="867">
        <f>IF(E126="","",ROUND(E126/F126,4))</f>
        <v>0.2719</v>
      </c>
      <c r="H126" s="864">
        <f>IF(OR(E126="",F126="",F126=0),"",SUM(K126:O126))</f>
        <v>1</v>
      </c>
      <c r="I126" s="865">
        <v>0.5</v>
      </c>
      <c r="J126" s="866">
        <f t="shared" si="44"/>
        <v>0.5</v>
      </c>
      <c r="K126" s="761">
        <f>IF($G126&lt;$R126%,$K$5,"")</f>
      </c>
      <c r="L126" s="29">
        <f t="shared" si="61"/>
        <v>1</v>
      </c>
      <c r="M126" s="29">
        <f t="shared" si="62"/>
      </c>
      <c r="N126" s="29">
        <f t="shared" si="63"/>
      </c>
      <c r="O126" s="29">
        <f>IF(AND($G126&lt;Y126%,G126&gt;W126%),$O$5,"")</f>
      </c>
      <c r="P126" s="115">
        <v>0</v>
      </c>
      <c r="Q126" s="115">
        <v>20</v>
      </c>
      <c r="R126" s="116">
        <v>20.0001</v>
      </c>
      <c r="S126" s="116">
        <v>40</v>
      </c>
      <c r="T126" s="116">
        <v>40.0001</v>
      </c>
      <c r="U126" s="116">
        <v>60</v>
      </c>
      <c r="V126" s="116">
        <v>60.0001</v>
      </c>
      <c r="W126" s="116">
        <v>80</v>
      </c>
      <c r="X126" s="116">
        <v>80.0001</v>
      </c>
      <c r="Y126" s="253">
        <v>10000</v>
      </c>
      <c r="Z126" s="255">
        <f t="shared" si="39"/>
        <v>1</v>
      </c>
      <c r="AA126" s="438" t="s">
        <v>493</v>
      </c>
      <c r="AB126" s="439" t="s">
        <v>220</v>
      </c>
      <c r="AC126" s="901" t="s">
        <v>496</v>
      </c>
      <c r="AD126" s="904" t="s">
        <v>417</v>
      </c>
      <c r="AE126" s="875" t="s">
        <v>498</v>
      </c>
      <c r="AF126" s="348"/>
      <c r="AG126" s="1099" t="s">
        <v>317</v>
      </c>
      <c r="AH126" s="1100"/>
      <c r="AI126" s="1100"/>
      <c r="AJ126" s="1100"/>
      <c r="AK126" s="1100"/>
      <c r="AL126" s="1100"/>
      <c r="AM126" s="1100"/>
      <c r="AN126" s="1100"/>
      <c r="AO126" s="1100"/>
      <c r="AP126" s="1100"/>
      <c r="AQ126" s="1100"/>
      <c r="AR126" s="1100"/>
      <c r="AS126" s="1100"/>
      <c r="AT126" s="1100"/>
      <c r="AU126" s="1100"/>
      <c r="AV126" s="1100"/>
      <c r="AW126" s="1100"/>
      <c r="AX126" s="1100"/>
      <c r="AY126" s="1100"/>
      <c r="AZ126" s="1101"/>
      <c r="BA126" s="357">
        <f>IF(E126&gt;F126,"ERROR INPUT","")</f>
      </c>
      <c r="BF126">
        <v>4</v>
      </c>
      <c r="BG126" s="358">
        <f t="shared" si="40"/>
        <v>0.5</v>
      </c>
      <c r="BH126">
        <f t="shared" si="41"/>
        <v>2</v>
      </c>
      <c r="BI126" s="358">
        <f t="shared" si="42"/>
        <v>0.5</v>
      </c>
    </row>
    <row r="127" spans="1:61" ht="48.75" customHeight="1" thickBot="1">
      <c r="A127" s="1020"/>
      <c r="B127" s="1119"/>
      <c r="C127" s="326">
        <f t="shared" si="43"/>
        <v>120</v>
      </c>
      <c r="D127" s="862" t="s">
        <v>143</v>
      </c>
      <c r="E127" s="672">
        <v>1000</v>
      </c>
      <c r="F127" s="218">
        <f>+$E$7</f>
        <v>5517</v>
      </c>
      <c r="G127" s="867">
        <f>IF(E127="","",ROUND(E127/F127,4))</f>
        <v>0.1813</v>
      </c>
      <c r="H127" s="864">
        <f>IF(OR(E127="",F127="",F127=0),"",SUM(K127:O127))</f>
        <v>0</v>
      </c>
      <c r="I127" s="865">
        <v>0.5</v>
      </c>
      <c r="J127" s="866">
        <f t="shared" si="44"/>
        <v>0</v>
      </c>
      <c r="K127" s="761">
        <f>IF($G127&lt;$R127%,$K$5,"")</f>
        <v>0</v>
      </c>
      <c r="L127" s="29">
        <f t="shared" si="61"/>
      </c>
      <c r="M127" s="29">
        <f t="shared" si="62"/>
      </c>
      <c r="N127" s="29">
        <f t="shared" si="63"/>
      </c>
      <c r="O127" s="29">
        <f>IF(AND($G127&lt;Y127%,G127&gt;W127%),$O$5,"")</f>
      </c>
      <c r="P127" s="115">
        <v>0</v>
      </c>
      <c r="Q127" s="115">
        <v>20</v>
      </c>
      <c r="R127" s="116">
        <v>20.0001</v>
      </c>
      <c r="S127" s="116">
        <v>40</v>
      </c>
      <c r="T127" s="116">
        <v>40.0001</v>
      </c>
      <c r="U127" s="116">
        <v>60</v>
      </c>
      <c r="V127" s="116">
        <v>60.0001</v>
      </c>
      <c r="W127" s="116">
        <v>80</v>
      </c>
      <c r="X127" s="116">
        <v>80.0001</v>
      </c>
      <c r="Y127" s="253">
        <v>10000</v>
      </c>
      <c r="Z127" s="255">
        <f t="shared" si="39"/>
        <v>1</v>
      </c>
      <c r="AA127" s="438" t="s">
        <v>493</v>
      </c>
      <c r="AB127" s="439" t="s">
        <v>220</v>
      </c>
      <c r="AC127" s="901" t="s">
        <v>495</v>
      </c>
      <c r="AD127" s="904" t="s">
        <v>417</v>
      </c>
      <c r="AE127" s="875" t="s">
        <v>498</v>
      </c>
      <c r="AF127" s="348"/>
      <c r="AG127" s="1099" t="s">
        <v>317</v>
      </c>
      <c r="AH127" s="1100"/>
      <c r="AI127" s="1100"/>
      <c r="AJ127" s="1100"/>
      <c r="AK127" s="1100"/>
      <c r="AL127" s="1100"/>
      <c r="AM127" s="1100"/>
      <c r="AN127" s="1100"/>
      <c r="AO127" s="1100"/>
      <c r="AP127" s="1100"/>
      <c r="AQ127" s="1100"/>
      <c r="AR127" s="1100"/>
      <c r="AS127" s="1100"/>
      <c r="AT127" s="1100"/>
      <c r="AU127" s="1100"/>
      <c r="AV127" s="1100"/>
      <c r="AW127" s="1100"/>
      <c r="AX127" s="1100"/>
      <c r="AY127" s="1100"/>
      <c r="AZ127" s="1101"/>
      <c r="BA127" s="357">
        <f>IF(E127&gt;F127,"ERROR INPUT","")</f>
      </c>
      <c r="BF127">
        <v>4</v>
      </c>
      <c r="BG127" s="358">
        <f t="shared" si="40"/>
        <v>0.5</v>
      </c>
      <c r="BH127">
        <f t="shared" si="41"/>
        <v>2</v>
      </c>
      <c r="BI127" s="358">
        <f t="shared" si="42"/>
        <v>0</v>
      </c>
    </row>
    <row r="128" spans="1:61" ht="82.5" customHeight="1" thickBot="1">
      <c r="A128" s="1020" t="s">
        <v>24</v>
      </c>
      <c r="B128" s="1119" t="s">
        <v>27</v>
      </c>
      <c r="C128" s="326">
        <f t="shared" si="43"/>
        <v>121</v>
      </c>
      <c r="D128" s="862" t="s">
        <v>144</v>
      </c>
      <c r="E128" s="672">
        <v>516</v>
      </c>
      <c r="F128" s="672">
        <v>129</v>
      </c>
      <c r="G128" s="868">
        <f>IF(E128="","",ROUND(E128/(4*F128),4)*100)</f>
        <v>100</v>
      </c>
      <c r="H128" s="864">
        <f>IF(OR(E128="",F128="",F128=0),"",SUM(K128:O128))</f>
        <v>4</v>
      </c>
      <c r="I128" s="865">
        <v>1</v>
      </c>
      <c r="J128" s="866">
        <f t="shared" si="44"/>
        <v>4</v>
      </c>
      <c r="K128" s="760">
        <f>IF($G128&lt;$R128,$K$5,"")</f>
      </c>
      <c r="L128" s="68">
        <f>IF(AND($G128&lt;$T128,$G128&gt;$Q128),$L$5,"")</f>
      </c>
      <c r="M128" s="68">
        <f>IF(AND($G128&lt;$V128,$G128&gt;$S128),$M$5,"")</f>
      </c>
      <c r="N128" s="68">
        <f>IF(AND($G128&lt;$X128,$G128&gt;$U128),$N$5,"")</f>
      </c>
      <c r="O128" s="68">
        <f>IF(AND($G128&lt;Y128,G128&gt;W128),$O$5,"")</f>
        <v>4</v>
      </c>
      <c r="P128" s="115">
        <v>0</v>
      </c>
      <c r="Q128" s="115">
        <v>20</v>
      </c>
      <c r="R128" s="116">
        <v>20.0001</v>
      </c>
      <c r="S128" s="116">
        <v>40</v>
      </c>
      <c r="T128" s="116">
        <v>40.0001</v>
      </c>
      <c r="U128" s="116">
        <v>60</v>
      </c>
      <c r="V128" s="116">
        <v>60.0001</v>
      </c>
      <c r="W128" s="116">
        <v>80</v>
      </c>
      <c r="X128" s="116">
        <v>80.0001</v>
      </c>
      <c r="Y128" s="253">
        <v>10000</v>
      </c>
      <c r="Z128" s="255">
        <f t="shared" si="39"/>
        <v>1</v>
      </c>
      <c r="AA128" s="438" t="s">
        <v>493</v>
      </c>
      <c r="AB128" s="439" t="s">
        <v>220</v>
      </c>
      <c r="AC128" s="901" t="s">
        <v>472</v>
      </c>
      <c r="AD128" s="904" t="s">
        <v>417</v>
      </c>
      <c r="AE128" s="875" t="s">
        <v>498</v>
      </c>
      <c r="AF128" s="348"/>
      <c r="AG128" s="1099" t="s">
        <v>318</v>
      </c>
      <c r="AH128" s="1100"/>
      <c r="AI128" s="1100"/>
      <c r="AJ128" s="1100"/>
      <c r="AK128" s="1100"/>
      <c r="AL128" s="1100"/>
      <c r="AM128" s="1100"/>
      <c r="AN128" s="1100"/>
      <c r="AO128" s="1100"/>
      <c r="AP128" s="1100"/>
      <c r="AQ128" s="1100"/>
      <c r="AR128" s="1100"/>
      <c r="AS128" s="1100"/>
      <c r="AT128" s="1100"/>
      <c r="AU128" s="1100"/>
      <c r="AV128" s="1100"/>
      <c r="AW128" s="1100"/>
      <c r="AX128" s="1100"/>
      <c r="AY128" s="1100"/>
      <c r="AZ128" s="1101"/>
      <c r="BA128" s="357"/>
      <c r="BF128">
        <v>4</v>
      </c>
      <c r="BG128" s="358">
        <f t="shared" si="40"/>
        <v>1</v>
      </c>
      <c r="BH128">
        <f t="shared" si="41"/>
        <v>4</v>
      </c>
      <c r="BI128" s="358">
        <f t="shared" si="42"/>
        <v>4</v>
      </c>
    </row>
    <row r="129" spans="1:61" ht="50.25" customHeight="1" thickBot="1">
      <c r="A129" s="1020"/>
      <c r="B129" s="1119"/>
      <c r="C129" s="326">
        <f t="shared" si="43"/>
        <v>122</v>
      </c>
      <c r="D129" s="862" t="s">
        <v>145</v>
      </c>
      <c r="E129" s="672">
        <v>606</v>
      </c>
      <c r="F129" s="218">
        <f>+$E$7</f>
        <v>5517</v>
      </c>
      <c r="G129" s="867">
        <f>IF(E129="","",ROUND(E129/F129,4))</f>
        <v>0.1098</v>
      </c>
      <c r="H129" s="864">
        <f>IF(OR(E129="",F129="",F129=0),"",SUM(K129:O129))</f>
        <v>0</v>
      </c>
      <c r="I129" s="865">
        <v>0.5</v>
      </c>
      <c r="J129" s="866">
        <f t="shared" si="44"/>
        <v>0</v>
      </c>
      <c r="K129" s="761">
        <f>IF($G129&lt;$R129%,$K$5,"")</f>
        <v>0</v>
      </c>
      <c r="L129" s="29">
        <f>IF(AND($G129&lt;$T129%,$G129&gt;$Q129%),$L$5,"")</f>
      </c>
      <c r="M129" s="29">
        <f>IF(AND($G129&lt;$V129%,$G129&gt;$S129%),$M$5,"")</f>
      </c>
      <c r="N129" s="29">
        <f>IF(AND($G129&lt;$X129%,$G129&gt;$U129%),$N$5,"")</f>
      </c>
      <c r="O129" s="29">
        <f>IF(AND($G129&lt;Y129%,G129&gt;W129%),$O$5,"")</f>
      </c>
      <c r="P129" s="115">
        <v>0</v>
      </c>
      <c r="Q129" s="115">
        <v>20</v>
      </c>
      <c r="R129" s="116">
        <v>20.0001</v>
      </c>
      <c r="S129" s="116">
        <v>40</v>
      </c>
      <c r="T129" s="116">
        <v>40.0001</v>
      </c>
      <c r="U129" s="116">
        <v>60</v>
      </c>
      <c r="V129" s="116">
        <v>60.0001</v>
      </c>
      <c r="W129" s="116">
        <v>80</v>
      </c>
      <c r="X129" s="116">
        <v>80.0001</v>
      </c>
      <c r="Y129" s="253">
        <v>10000</v>
      </c>
      <c r="Z129" s="255">
        <f t="shared" si="39"/>
        <v>1</v>
      </c>
      <c r="AA129" s="438" t="s">
        <v>493</v>
      </c>
      <c r="AB129" s="439" t="s">
        <v>220</v>
      </c>
      <c r="AC129" s="901" t="s">
        <v>473</v>
      </c>
      <c r="AD129" s="904" t="s">
        <v>417</v>
      </c>
      <c r="AE129" s="875" t="s">
        <v>498</v>
      </c>
      <c r="AF129" s="348"/>
      <c r="AG129" s="1096" t="s">
        <v>319</v>
      </c>
      <c r="AH129" s="1097"/>
      <c r="AI129" s="1097"/>
      <c r="AJ129" s="1097"/>
      <c r="AK129" s="1097"/>
      <c r="AL129" s="1097"/>
      <c r="AM129" s="1097"/>
      <c r="AN129" s="1097"/>
      <c r="AO129" s="1097"/>
      <c r="AP129" s="1097"/>
      <c r="AQ129" s="1097"/>
      <c r="AR129" s="1097"/>
      <c r="AS129" s="1097"/>
      <c r="AT129" s="1097"/>
      <c r="AU129" s="1097"/>
      <c r="AV129" s="1097"/>
      <c r="AW129" s="1097"/>
      <c r="AX129" s="1097"/>
      <c r="AY129" s="1097"/>
      <c r="AZ129" s="1098"/>
      <c r="BA129" s="357">
        <f>IF(E129&gt;F129,"ERROR INPUT","")</f>
      </c>
      <c r="BF129">
        <v>4</v>
      </c>
      <c r="BG129" s="358">
        <f t="shared" si="40"/>
        <v>0.5</v>
      </c>
      <c r="BH129">
        <f t="shared" si="41"/>
        <v>2</v>
      </c>
      <c r="BI129" s="358">
        <f t="shared" si="42"/>
        <v>0</v>
      </c>
    </row>
    <row r="130" spans="1:61" ht="27" customHeight="1" thickBot="1">
      <c r="A130" s="1020"/>
      <c r="B130" s="1119"/>
      <c r="C130" s="326">
        <f t="shared" si="43"/>
        <v>123</v>
      </c>
      <c r="D130" s="862" t="s">
        <v>146</v>
      </c>
      <c r="E130" s="1043">
        <v>500</v>
      </c>
      <c r="F130" s="1043"/>
      <c r="G130" s="869">
        <f>+E130</f>
        <v>500</v>
      </c>
      <c r="H130" s="864">
        <f>IF(E130="","",SUM(K130:O130))</f>
        <v>4</v>
      </c>
      <c r="I130" s="865">
        <v>1.5</v>
      </c>
      <c r="J130" s="866">
        <f t="shared" si="44"/>
        <v>6</v>
      </c>
      <c r="K130" s="760">
        <f>IF($E130&lt;$R130,$K$5,"")</f>
      </c>
      <c r="L130" s="68">
        <f>IF(AND($E130&lt;$T130,$E130&gt;$Q130),$L$5,"")</f>
      </c>
      <c r="M130" s="68">
        <f>IF(AND($E130&lt;$V130,$E130&gt;$S130),$M$5,"")</f>
      </c>
      <c r="N130" s="68">
        <f>IF(AND($E130&lt;$X130,$E130&gt;$U130),$N$5,"")</f>
      </c>
      <c r="O130" s="68">
        <f>IF(AND($E130&lt;Y130,E130&gt;W130),$O$5,"")</f>
        <v>4</v>
      </c>
      <c r="P130" s="115">
        <v>0</v>
      </c>
      <c r="Q130" s="115">
        <v>10</v>
      </c>
      <c r="R130" s="116">
        <v>11</v>
      </c>
      <c r="S130" s="116">
        <v>50</v>
      </c>
      <c r="T130" s="116">
        <v>51</v>
      </c>
      <c r="U130" s="116">
        <v>100</v>
      </c>
      <c r="V130" s="116">
        <v>101</v>
      </c>
      <c r="W130" s="116">
        <v>200</v>
      </c>
      <c r="X130" s="116">
        <v>201</v>
      </c>
      <c r="Y130" s="253">
        <v>10000</v>
      </c>
      <c r="Z130" s="255">
        <f t="shared" si="39"/>
        <v>1</v>
      </c>
      <c r="AA130" s="438"/>
      <c r="AB130" s="439" t="s">
        <v>220</v>
      </c>
      <c r="AC130" s="901"/>
      <c r="AD130" s="904" t="s">
        <v>417</v>
      </c>
      <c r="AE130" s="875" t="s">
        <v>500</v>
      </c>
      <c r="AF130" s="348"/>
      <c r="AG130" s="1096" t="s">
        <v>320</v>
      </c>
      <c r="AH130" s="1097"/>
      <c r="AI130" s="1097"/>
      <c r="AJ130" s="1097"/>
      <c r="AK130" s="1097"/>
      <c r="AL130" s="1097"/>
      <c r="AM130" s="1097"/>
      <c r="AN130" s="1097"/>
      <c r="AO130" s="1097"/>
      <c r="AP130" s="1097"/>
      <c r="AQ130" s="1097"/>
      <c r="AR130" s="1097"/>
      <c r="AS130" s="1097"/>
      <c r="AT130" s="1097"/>
      <c r="AU130" s="1097"/>
      <c r="AV130" s="1097"/>
      <c r="AW130" s="1097"/>
      <c r="AX130" s="1097"/>
      <c r="AY130" s="1097"/>
      <c r="AZ130" s="1098"/>
      <c r="BA130" s="356"/>
      <c r="BF130">
        <v>4</v>
      </c>
      <c r="BG130" s="358">
        <f t="shared" si="40"/>
        <v>1.5</v>
      </c>
      <c r="BH130">
        <f t="shared" si="41"/>
        <v>6</v>
      </c>
      <c r="BI130" s="358">
        <f t="shared" si="42"/>
        <v>6</v>
      </c>
    </row>
    <row r="131" spans="1:63" ht="51.75" customHeight="1" thickBot="1">
      <c r="A131" s="1020"/>
      <c r="B131" s="1119"/>
      <c r="C131" s="326">
        <f t="shared" si="43"/>
        <v>124</v>
      </c>
      <c r="D131" s="862" t="s">
        <v>147</v>
      </c>
      <c r="E131" s="672">
        <v>0</v>
      </c>
      <c r="F131" s="672"/>
      <c r="G131" s="867" t="e">
        <f>IF(E131="","",ROUND(E131/F131,4))</f>
        <v>#DIV/0!</v>
      </c>
      <c r="H131" s="864">
        <f>IF(OR(E131="",F131="",F131=0),"",SUM(K131:O131))</f>
      </c>
      <c r="I131" s="865">
        <v>0.5</v>
      </c>
      <c r="J131" s="866">
        <f t="shared" si="44"/>
      </c>
      <c r="K131" s="761" t="e">
        <f>IF($G131&lt;$R131%,$K$5,"")</f>
        <v>#DIV/0!</v>
      </c>
      <c r="L131" s="29" t="e">
        <f>IF(AND($G131&lt;$T131%,$G131&gt;$Q131%),$L$5,"")</f>
        <v>#DIV/0!</v>
      </c>
      <c r="M131" s="29" t="e">
        <f>IF(AND($G131&lt;$V131%,$G131&gt;$S131%),$M$5,"")</f>
        <v>#DIV/0!</v>
      </c>
      <c r="N131" s="29" t="e">
        <f>IF(AND($G131&lt;$X131%,$G131&gt;$U131%),$N$5,"")</f>
        <v>#DIV/0!</v>
      </c>
      <c r="O131" s="29" t="e">
        <f>IF(AND($G131&lt;Y131%,G131&gt;W131%),$O$5,"")</f>
        <v>#DIV/0!</v>
      </c>
      <c r="P131" s="115">
        <v>0</v>
      </c>
      <c r="Q131" s="115">
        <v>20</v>
      </c>
      <c r="R131" s="116">
        <v>20.0001</v>
      </c>
      <c r="S131" s="116">
        <v>40</v>
      </c>
      <c r="T131" s="116">
        <v>40.0001</v>
      </c>
      <c r="U131" s="116">
        <v>60</v>
      </c>
      <c r="V131" s="116">
        <v>60.0001</v>
      </c>
      <c r="W131" s="116">
        <v>80</v>
      </c>
      <c r="X131" s="116">
        <v>80.0001</v>
      </c>
      <c r="Y131" s="253">
        <v>10000</v>
      </c>
      <c r="Z131" s="255">
        <f t="shared" si="39"/>
        <v>0</v>
      </c>
      <c r="AA131" s="502"/>
      <c r="AB131" s="503" t="s">
        <v>220</v>
      </c>
      <c r="AC131" s="902"/>
      <c r="AD131" s="904" t="s">
        <v>396</v>
      </c>
      <c r="AE131" s="875" t="s">
        <v>499</v>
      </c>
      <c r="AF131" s="348"/>
      <c r="AG131" s="1096" t="s">
        <v>377</v>
      </c>
      <c r="AH131" s="1097"/>
      <c r="AI131" s="1097"/>
      <c r="AJ131" s="1097"/>
      <c r="AK131" s="1097"/>
      <c r="AL131" s="1097"/>
      <c r="AM131" s="1097"/>
      <c r="AN131" s="1097"/>
      <c r="AO131" s="1097"/>
      <c r="AP131" s="1097"/>
      <c r="AQ131" s="1097"/>
      <c r="AR131" s="1097"/>
      <c r="AS131" s="1097"/>
      <c r="AT131" s="1097"/>
      <c r="AU131" s="1097"/>
      <c r="AV131" s="1097"/>
      <c r="AW131" s="1097"/>
      <c r="AX131" s="1097"/>
      <c r="AY131" s="1097"/>
      <c r="AZ131" s="1098"/>
      <c r="BA131" s="357">
        <f>IF(E131&gt;F131,"ERROR INPUT","")</f>
      </c>
      <c r="BF131">
        <v>4</v>
      </c>
      <c r="BG131" s="358">
        <f t="shared" si="40"/>
        <v>0.5</v>
      </c>
      <c r="BH131">
        <f t="shared" si="41"/>
        <v>2</v>
      </c>
      <c r="BI131" s="358">
        <f t="shared" si="42"/>
        <v>0</v>
      </c>
      <c r="BJ131" s="358">
        <f>SUM(BH124:BH131)</f>
        <v>24</v>
      </c>
      <c r="BK131" s="358">
        <f>SUM(BI124:BI131)</f>
        <v>14.5</v>
      </c>
    </row>
    <row r="132" spans="1:61" ht="69.75" customHeight="1" thickBot="1">
      <c r="A132" s="1020"/>
      <c r="B132" s="1120" t="s">
        <v>28</v>
      </c>
      <c r="C132" s="327">
        <f t="shared" si="43"/>
        <v>125</v>
      </c>
      <c r="D132" s="870" t="s">
        <v>148</v>
      </c>
      <c r="E132" s="1041">
        <v>15</v>
      </c>
      <c r="F132" s="1041"/>
      <c r="G132" s="871">
        <f aca="true" t="shared" si="64" ref="G132:G137">+E132</f>
        <v>15</v>
      </c>
      <c r="H132" s="872">
        <f aca="true" t="shared" si="65" ref="H132:H137">IF(E132="","",SUM(K132:O132))</f>
        <v>4</v>
      </c>
      <c r="I132" s="873">
        <v>0.5</v>
      </c>
      <c r="J132" s="874">
        <f t="shared" si="44"/>
        <v>2</v>
      </c>
      <c r="K132" s="762">
        <f aca="true" t="shared" si="66" ref="K132:K137">IF($E132&lt;$R132,$K$5,"")</f>
      </c>
      <c r="L132" s="117">
        <f aca="true" t="shared" si="67" ref="L132:L137">IF(AND($E132&lt;$T132,$E132&gt;$Q132),$L$5,"")</f>
      </c>
      <c r="M132" s="117">
        <f aca="true" t="shared" si="68" ref="M132:M137">IF(AND($E132&lt;$V132,$E132&gt;$S132),$M$5,"")</f>
      </c>
      <c r="N132" s="117">
        <f aca="true" t="shared" si="69" ref="N132:N137">IF(AND($E132&lt;$X132,$E132&gt;$U132),$N$5,"")</f>
      </c>
      <c r="O132" s="117">
        <f aca="true" t="shared" si="70" ref="O132:O137">IF(AND($E132&lt;Y132,E132&gt;W132),$O$5,"")</f>
        <v>4</v>
      </c>
      <c r="P132" s="118">
        <v>0</v>
      </c>
      <c r="Q132" s="118">
        <v>0</v>
      </c>
      <c r="R132" s="119">
        <v>1</v>
      </c>
      <c r="S132" s="119">
        <v>1</v>
      </c>
      <c r="T132" s="119">
        <v>2</v>
      </c>
      <c r="U132" s="119">
        <v>2</v>
      </c>
      <c r="V132" s="119">
        <v>3</v>
      </c>
      <c r="W132" s="119">
        <v>3</v>
      </c>
      <c r="X132" s="119">
        <v>4</v>
      </c>
      <c r="Y132" s="254">
        <v>10000</v>
      </c>
      <c r="Z132" s="255">
        <f t="shared" si="39"/>
        <v>1</v>
      </c>
      <c r="AA132" s="504" t="s">
        <v>494</v>
      </c>
      <c r="AB132" s="505" t="s">
        <v>220</v>
      </c>
      <c r="AC132" s="903" t="s">
        <v>474</v>
      </c>
      <c r="AD132" s="904" t="s">
        <v>417</v>
      </c>
      <c r="AE132" s="875" t="s">
        <v>498</v>
      </c>
      <c r="AF132" s="348"/>
      <c r="AG132" s="1105" t="s">
        <v>321</v>
      </c>
      <c r="AH132" s="1106"/>
      <c r="AI132" s="1106"/>
      <c r="AJ132" s="1106"/>
      <c r="AK132" s="1106"/>
      <c r="AL132" s="1106"/>
      <c r="AM132" s="1106"/>
      <c r="AN132" s="1106"/>
      <c r="AO132" s="1106"/>
      <c r="AP132" s="1106"/>
      <c r="AQ132" s="1106"/>
      <c r="AR132" s="1106"/>
      <c r="AS132" s="1106"/>
      <c r="AT132" s="1106"/>
      <c r="AU132" s="1106"/>
      <c r="AV132" s="1106"/>
      <c r="AW132" s="1106"/>
      <c r="AX132" s="1106"/>
      <c r="AY132" s="1106"/>
      <c r="AZ132" s="1107"/>
      <c r="BA132" s="356"/>
      <c r="BF132">
        <v>4</v>
      </c>
      <c r="BG132" s="358">
        <f t="shared" si="40"/>
        <v>0.5</v>
      </c>
      <c r="BH132">
        <f t="shared" si="41"/>
        <v>2</v>
      </c>
      <c r="BI132" s="358">
        <f t="shared" si="42"/>
        <v>2</v>
      </c>
    </row>
    <row r="133" spans="1:61" ht="41.25" customHeight="1" thickBot="1">
      <c r="A133" s="1020"/>
      <c r="B133" s="1121"/>
      <c r="C133" s="327">
        <f t="shared" si="43"/>
        <v>126</v>
      </c>
      <c r="D133" s="870" t="s">
        <v>149</v>
      </c>
      <c r="E133" s="1041">
        <v>4</v>
      </c>
      <c r="F133" s="1041"/>
      <c r="G133" s="871">
        <f t="shared" si="64"/>
        <v>4</v>
      </c>
      <c r="H133" s="872">
        <f t="shared" si="65"/>
        <v>4</v>
      </c>
      <c r="I133" s="873">
        <v>0.5</v>
      </c>
      <c r="J133" s="874">
        <f t="shared" si="44"/>
        <v>2</v>
      </c>
      <c r="K133" s="762">
        <f t="shared" si="66"/>
      </c>
      <c r="L133" s="117">
        <f t="shared" si="67"/>
      </c>
      <c r="M133" s="117">
        <f t="shared" si="68"/>
      </c>
      <c r="N133" s="117">
        <f t="shared" si="69"/>
      </c>
      <c r="O133" s="117">
        <f t="shared" si="70"/>
        <v>4</v>
      </c>
      <c r="P133" s="118">
        <v>0</v>
      </c>
      <c r="Q133" s="118">
        <v>0</v>
      </c>
      <c r="R133" s="119">
        <v>1</v>
      </c>
      <c r="S133" s="119">
        <v>1</v>
      </c>
      <c r="T133" s="119">
        <v>2</v>
      </c>
      <c r="U133" s="119">
        <v>2</v>
      </c>
      <c r="V133" s="119">
        <v>3</v>
      </c>
      <c r="W133" s="119">
        <v>3</v>
      </c>
      <c r="X133" s="119">
        <v>4</v>
      </c>
      <c r="Y133" s="254">
        <v>10000</v>
      </c>
      <c r="Z133" s="255">
        <f t="shared" si="39"/>
        <v>1</v>
      </c>
      <c r="AA133" s="504" t="s">
        <v>494</v>
      </c>
      <c r="AB133" s="505" t="s">
        <v>220</v>
      </c>
      <c r="AC133" s="903" t="s">
        <v>475</v>
      </c>
      <c r="AD133" s="904" t="s">
        <v>417</v>
      </c>
      <c r="AE133" s="875" t="s">
        <v>498</v>
      </c>
      <c r="AF133" s="348"/>
      <c r="AG133" s="1099" t="s">
        <v>321</v>
      </c>
      <c r="AH133" s="1100"/>
      <c r="AI133" s="1100"/>
      <c r="AJ133" s="1100"/>
      <c r="AK133" s="1100"/>
      <c r="AL133" s="1100"/>
      <c r="AM133" s="1100"/>
      <c r="AN133" s="1100"/>
      <c r="AO133" s="1100"/>
      <c r="AP133" s="1100"/>
      <c r="AQ133" s="1100"/>
      <c r="AR133" s="1100"/>
      <c r="AS133" s="1100"/>
      <c r="AT133" s="1100"/>
      <c r="AU133" s="1100"/>
      <c r="AV133" s="1100"/>
      <c r="AW133" s="1100"/>
      <c r="AX133" s="1100"/>
      <c r="AY133" s="1100"/>
      <c r="AZ133" s="1101"/>
      <c r="BA133" s="356"/>
      <c r="BF133">
        <v>4</v>
      </c>
      <c r="BG133" s="358">
        <f t="shared" si="40"/>
        <v>0.5</v>
      </c>
      <c r="BH133">
        <f t="shared" si="41"/>
        <v>2</v>
      </c>
      <c r="BI133" s="358">
        <f t="shared" si="42"/>
        <v>2</v>
      </c>
    </row>
    <row r="134" spans="1:61" ht="56.25" customHeight="1" thickBot="1">
      <c r="A134" s="1020"/>
      <c r="B134" s="1121"/>
      <c r="C134" s="327">
        <f t="shared" si="43"/>
        <v>127</v>
      </c>
      <c r="D134" s="870" t="s">
        <v>150</v>
      </c>
      <c r="E134" s="1041">
        <v>0</v>
      </c>
      <c r="F134" s="1041"/>
      <c r="G134" s="871">
        <f t="shared" si="64"/>
        <v>0</v>
      </c>
      <c r="H134" s="872">
        <f t="shared" si="65"/>
        <v>0</v>
      </c>
      <c r="I134" s="873">
        <v>0.5</v>
      </c>
      <c r="J134" s="874">
        <f t="shared" si="44"/>
        <v>0</v>
      </c>
      <c r="K134" s="762">
        <f t="shared" si="66"/>
        <v>0</v>
      </c>
      <c r="L134" s="117">
        <f t="shared" si="67"/>
      </c>
      <c r="M134" s="117">
        <f t="shared" si="68"/>
      </c>
      <c r="N134" s="117">
        <f t="shared" si="69"/>
      </c>
      <c r="O134" s="117">
        <f t="shared" si="70"/>
      </c>
      <c r="P134" s="118">
        <v>0</v>
      </c>
      <c r="Q134" s="118">
        <v>0</v>
      </c>
      <c r="R134" s="119">
        <v>1</v>
      </c>
      <c r="S134" s="119">
        <v>1</v>
      </c>
      <c r="T134" s="119">
        <v>2</v>
      </c>
      <c r="U134" s="119">
        <v>2</v>
      </c>
      <c r="V134" s="119">
        <v>3</v>
      </c>
      <c r="W134" s="119">
        <v>3</v>
      </c>
      <c r="X134" s="119">
        <v>4</v>
      </c>
      <c r="Y134" s="254">
        <v>10000</v>
      </c>
      <c r="Z134" s="255">
        <f t="shared" si="39"/>
        <v>0</v>
      </c>
      <c r="AA134" s="504"/>
      <c r="AB134" s="505" t="s">
        <v>220</v>
      </c>
      <c r="AC134" s="903"/>
      <c r="AD134" s="904" t="s">
        <v>396</v>
      </c>
      <c r="AE134" s="875" t="s">
        <v>499</v>
      </c>
      <c r="AF134" s="348"/>
      <c r="AG134" s="1099" t="s">
        <v>321</v>
      </c>
      <c r="AH134" s="1100"/>
      <c r="AI134" s="1100"/>
      <c r="AJ134" s="1100"/>
      <c r="AK134" s="1100"/>
      <c r="AL134" s="1100"/>
      <c r="AM134" s="1100"/>
      <c r="AN134" s="1100"/>
      <c r="AO134" s="1100"/>
      <c r="AP134" s="1100"/>
      <c r="AQ134" s="1100"/>
      <c r="AR134" s="1100"/>
      <c r="AS134" s="1100"/>
      <c r="AT134" s="1100"/>
      <c r="AU134" s="1100"/>
      <c r="AV134" s="1100"/>
      <c r="AW134" s="1100"/>
      <c r="AX134" s="1100"/>
      <c r="AY134" s="1100"/>
      <c r="AZ134" s="1101"/>
      <c r="BA134" s="356"/>
      <c r="BF134">
        <v>4</v>
      </c>
      <c r="BG134" s="358">
        <f t="shared" si="40"/>
        <v>0.5</v>
      </c>
      <c r="BH134">
        <f t="shared" si="41"/>
        <v>2</v>
      </c>
      <c r="BI134" s="358">
        <f t="shared" si="42"/>
        <v>0</v>
      </c>
    </row>
    <row r="135" spans="1:61" ht="49.5" customHeight="1" thickBot="1">
      <c r="A135" s="1020" t="s">
        <v>24</v>
      </c>
      <c r="B135" s="1120" t="s">
        <v>28</v>
      </c>
      <c r="C135" s="327">
        <f t="shared" si="43"/>
        <v>128</v>
      </c>
      <c r="D135" s="870" t="s">
        <v>151</v>
      </c>
      <c r="E135" s="1041">
        <v>0</v>
      </c>
      <c r="F135" s="1041"/>
      <c r="G135" s="871">
        <f t="shared" si="64"/>
        <v>0</v>
      </c>
      <c r="H135" s="872">
        <f t="shared" si="65"/>
        <v>0</v>
      </c>
      <c r="I135" s="873">
        <v>0.5</v>
      </c>
      <c r="J135" s="874">
        <f t="shared" si="44"/>
        <v>0</v>
      </c>
      <c r="K135" s="762">
        <f t="shared" si="66"/>
        <v>0</v>
      </c>
      <c r="L135" s="117">
        <f t="shared" si="67"/>
      </c>
      <c r="M135" s="117">
        <f t="shared" si="68"/>
      </c>
      <c r="N135" s="117">
        <f t="shared" si="69"/>
      </c>
      <c r="O135" s="117">
        <f t="shared" si="70"/>
      </c>
      <c r="P135" s="118">
        <v>0</v>
      </c>
      <c r="Q135" s="118">
        <v>0</v>
      </c>
      <c r="R135" s="119">
        <v>1</v>
      </c>
      <c r="S135" s="119">
        <v>1</v>
      </c>
      <c r="T135" s="119">
        <v>2</v>
      </c>
      <c r="U135" s="119">
        <v>2</v>
      </c>
      <c r="V135" s="119">
        <v>3</v>
      </c>
      <c r="W135" s="119">
        <v>3</v>
      </c>
      <c r="X135" s="119">
        <v>4</v>
      </c>
      <c r="Y135" s="254">
        <v>10000</v>
      </c>
      <c r="Z135" s="255">
        <f t="shared" si="39"/>
        <v>0</v>
      </c>
      <c r="AA135" s="504"/>
      <c r="AB135" s="505" t="s">
        <v>220</v>
      </c>
      <c r="AC135" s="903"/>
      <c r="AD135" s="904" t="s">
        <v>396</v>
      </c>
      <c r="AE135" s="875" t="s">
        <v>499</v>
      </c>
      <c r="AF135" s="348"/>
      <c r="AG135" s="1099" t="s">
        <v>322</v>
      </c>
      <c r="AH135" s="1100"/>
      <c r="AI135" s="1100"/>
      <c r="AJ135" s="1100"/>
      <c r="AK135" s="1100"/>
      <c r="AL135" s="1100"/>
      <c r="AM135" s="1100"/>
      <c r="AN135" s="1100"/>
      <c r="AO135" s="1100"/>
      <c r="AP135" s="1100"/>
      <c r="AQ135" s="1100"/>
      <c r="AR135" s="1100"/>
      <c r="AS135" s="1100"/>
      <c r="AT135" s="1100"/>
      <c r="AU135" s="1100"/>
      <c r="AV135" s="1100"/>
      <c r="AW135" s="1100"/>
      <c r="AX135" s="1100"/>
      <c r="AY135" s="1100"/>
      <c r="AZ135" s="1101"/>
      <c r="BA135" s="356"/>
      <c r="BF135">
        <v>4</v>
      </c>
      <c r="BG135" s="358">
        <f t="shared" si="40"/>
        <v>0.5</v>
      </c>
      <c r="BH135">
        <f t="shared" si="41"/>
        <v>2</v>
      </c>
      <c r="BI135" s="358">
        <f t="shared" si="42"/>
        <v>0</v>
      </c>
    </row>
    <row r="136" spans="1:61" ht="37.5" customHeight="1" thickBot="1">
      <c r="A136" s="1020"/>
      <c r="B136" s="1120"/>
      <c r="C136" s="327">
        <f t="shared" si="43"/>
        <v>129</v>
      </c>
      <c r="D136" s="870" t="s">
        <v>152</v>
      </c>
      <c r="E136" s="1041">
        <v>0</v>
      </c>
      <c r="F136" s="1041"/>
      <c r="G136" s="871">
        <f t="shared" si="64"/>
        <v>0</v>
      </c>
      <c r="H136" s="872">
        <f t="shared" si="65"/>
        <v>0</v>
      </c>
      <c r="I136" s="873">
        <v>0.5</v>
      </c>
      <c r="J136" s="874">
        <f t="shared" si="44"/>
        <v>0</v>
      </c>
      <c r="K136" s="762">
        <f t="shared" si="66"/>
        <v>0</v>
      </c>
      <c r="L136" s="117">
        <f t="shared" si="67"/>
      </c>
      <c r="M136" s="117">
        <f t="shared" si="68"/>
      </c>
      <c r="N136" s="117">
        <f t="shared" si="69"/>
      </c>
      <c r="O136" s="117">
        <f t="shared" si="70"/>
      </c>
      <c r="P136" s="118">
        <v>0</v>
      </c>
      <c r="Q136" s="118">
        <v>0</v>
      </c>
      <c r="R136" s="119">
        <v>1</v>
      </c>
      <c r="S136" s="119">
        <v>1</v>
      </c>
      <c r="T136" s="119">
        <v>2</v>
      </c>
      <c r="U136" s="119">
        <v>2</v>
      </c>
      <c r="V136" s="119">
        <v>3</v>
      </c>
      <c r="W136" s="119">
        <v>3</v>
      </c>
      <c r="X136" s="119">
        <v>4</v>
      </c>
      <c r="Y136" s="254">
        <v>10000</v>
      </c>
      <c r="Z136" s="255">
        <f>IF(AD136="YES",1,0)*IF(BA136="ERROR INPUT",0,1)*(IF(AE136="NOT VERIFIED",0,1))</f>
        <v>0</v>
      </c>
      <c r="AA136" s="504"/>
      <c r="AB136" s="505" t="s">
        <v>220</v>
      </c>
      <c r="AC136" s="903"/>
      <c r="AD136" s="904" t="s">
        <v>396</v>
      </c>
      <c r="AE136" s="875" t="s">
        <v>499</v>
      </c>
      <c r="AF136" s="348"/>
      <c r="AG136" s="1099" t="s">
        <v>322</v>
      </c>
      <c r="AH136" s="1100"/>
      <c r="AI136" s="1100"/>
      <c r="AJ136" s="1100"/>
      <c r="AK136" s="1100"/>
      <c r="AL136" s="1100"/>
      <c r="AM136" s="1100"/>
      <c r="AN136" s="1100"/>
      <c r="AO136" s="1100"/>
      <c r="AP136" s="1100"/>
      <c r="AQ136" s="1100"/>
      <c r="AR136" s="1100"/>
      <c r="AS136" s="1100"/>
      <c r="AT136" s="1100"/>
      <c r="AU136" s="1100"/>
      <c r="AV136" s="1100"/>
      <c r="AW136" s="1100"/>
      <c r="AX136" s="1100"/>
      <c r="AY136" s="1100"/>
      <c r="AZ136" s="1101"/>
      <c r="BA136" s="356"/>
      <c r="BF136">
        <v>4</v>
      </c>
      <c r="BG136" s="358">
        <f>+I136</f>
        <v>0.5</v>
      </c>
      <c r="BH136">
        <f>+BF136*BG136</f>
        <v>2</v>
      </c>
      <c r="BI136" s="358">
        <f>IF(J136="",0,+J136)</f>
        <v>0</v>
      </c>
    </row>
    <row r="137" spans="1:63" ht="35.25" customHeight="1" thickBot="1">
      <c r="A137" s="1020"/>
      <c r="B137" s="1120"/>
      <c r="C137" s="327">
        <f t="shared" si="43"/>
        <v>130</v>
      </c>
      <c r="D137" s="870" t="s">
        <v>153</v>
      </c>
      <c r="E137" s="1041">
        <v>0</v>
      </c>
      <c r="F137" s="1041"/>
      <c r="G137" s="871">
        <f t="shared" si="64"/>
        <v>0</v>
      </c>
      <c r="H137" s="872">
        <f t="shared" si="65"/>
        <v>0</v>
      </c>
      <c r="I137" s="873">
        <v>0.5</v>
      </c>
      <c r="J137" s="874">
        <f t="shared" si="44"/>
        <v>0</v>
      </c>
      <c r="K137" s="762">
        <f t="shared" si="66"/>
        <v>0</v>
      </c>
      <c r="L137" s="117">
        <f t="shared" si="67"/>
      </c>
      <c r="M137" s="117">
        <f t="shared" si="68"/>
      </c>
      <c r="N137" s="117">
        <f t="shared" si="69"/>
      </c>
      <c r="O137" s="117">
        <f t="shared" si="70"/>
      </c>
      <c r="P137" s="118">
        <v>0</v>
      </c>
      <c r="Q137" s="118">
        <v>0</v>
      </c>
      <c r="R137" s="119">
        <v>1</v>
      </c>
      <c r="S137" s="119">
        <v>1</v>
      </c>
      <c r="T137" s="119">
        <v>2</v>
      </c>
      <c r="U137" s="119">
        <v>2</v>
      </c>
      <c r="V137" s="119">
        <v>3</v>
      </c>
      <c r="W137" s="119">
        <v>3</v>
      </c>
      <c r="X137" s="119">
        <v>4</v>
      </c>
      <c r="Y137" s="254">
        <v>10000</v>
      </c>
      <c r="Z137" s="255">
        <f>IF(AD137="YES",1,0)*IF(BA137="ERROR INPUT",0,1)*(IF(AE137="NOT VERIFIED",0,1))</f>
        <v>0</v>
      </c>
      <c r="AA137" s="504"/>
      <c r="AB137" s="505" t="s">
        <v>220</v>
      </c>
      <c r="AC137" s="903"/>
      <c r="AD137" s="904" t="s">
        <v>396</v>
      </c>
      <c r="AE137" s="875" t="s">
        <v>499</v>
      </c>
      <c r="AF137" s="348"/>
      <c r="AG137" s="1099" t="s">
        <v>322</v>
      </c>
      <c r="AH137" s="1100"/>
      <c r="AI137" s="1100"/>
      <c r="AJ137" s="1100"/>
      <c r="AK137" s="1100"/>
      <c r="AL137" s="1100"/>
      <c r="AM137" s="1100"/>
      <c r="AN137" s="1100"/>
      <c r="AO137" s="1100"/>
      <c r="AP137" s="1100"/>
      <c r="AQ137" s="1100"/>
      <c r="AR137" s="1100"/>
      <c r="AS137" s="1100"/>
      <c r="AT137" s="1100"/>
      <c r="AU137" s="1100"/>
      <c r="AV137" s="1100"/>
      <c r="AW137" s="1100"/>
      <c r="AX137" s="1100"/>
      <c r="AY137" s="1100"/>
      <c r="AZ137" s="1101"/>
      <c r="BA137" s="356"/>
      <c r="BF137">
        <v>4</v>
      </c>
      <c r="BG137" s="358">
        <f>+I137</f>
        <v>0.5</v>
      </c>
      <c r="BH137">
        <f>+BF137*BG137</f>
        <v>2</v>
      </c>
      <c r="BI137" s="358">
        <f>IF(J137="",0,+J137)</f>
        <v>0</v>
      </c>
      <c r="BJ137" s="358">
        <f>SUM(BH132:BH137)</f>
        <v>12</v>
      </c>
      <c r="BK137" s="358">
        <f>SUM(BI132:BI137)</f>
        <v>4</v>
      </c>
    </row>
    <row r="138" spans="1:63" ht="53.25" customHeight="1" thickBot="1">
      <c r="A138" s="1127" t="s">
        <v>378</v>
      </c>
      <c r="B138" s="1127"/>
      <c r="C138" s="1127"/>
      <c r="D138" s="1127"/>
      <c r="E138" s="1127"/>
      <c r="F138" s="1127"/>
      <c r="G138" s="1127"/>
      <c r="H138" s="1127"/>
      <c r="I138" s="1127"/>
      <c r="J138" s="1127"/>
      <c r="K138" s="1127"/>
      <c r="L138" s="1127"/>
      <c r="M138" s="1127"/>
      <c r="N138" s="1127"/>
      <c r="O138" s="1127"/>
      <c r="P138" s="1127"/>
      <c r="Q138" s="1127"/>
      <c r="R138" s="1127"/>
      <c r="S138" s="1127"/>
      <c r="T138" s="1127"/>
      <c r="U138" s="1127"/>
      <c r="V138" s="1127"/>
      <c r="W138" s="1127"/>
      <c r="X138" s="1127"/>
      <c r="Y138" s="1127"/>
      <c r="Z138" s="1127"/>
      <c r="AA138" s="1127"/>
      <c r="AB138" s="1127"/>
      <c r="AC138" s="1127"/>
      <c r="AD138" s="1127"/>
      <c r="AE138" s="1127"/>
      <c r="AF138" s="348"/>
      <c r="AG138" s="626"/>
      <c r="AH138" s="626"/>
      <c r="AI138" s="626"/>
      <c r="AJ138" s="626"/>
      <c r="AK138" s="626"/>
      <c r="AL138" s="626"/>
      <c r="AM138" s="626"/>
      <c r="AN138" s="626"/>
      <c r="AO138" s="626"/>
      <c r="AP138" s="626"/>
      <c r="AQ138" s="626"/>
      <c r="AR138" s="626"/>
      <c r="AS138" s="626"/>
      <c r="AT138" s="626"/>
      <c r="AU138" s="626"/>
      <c r="AV138" s="626"/>
      <c r="AW138" s="626"/>
      <c r="AX138" s="626"/>
      <c r="AY138" s="626"/>
      <c r="AZ138" s="626"/>
      <c r="BA138" s="627"/>
      <c r="BG138" s="358"/>
      <c r="BI138" s="358"/>
      <c r="BJ138" s="358"/>
      <c r="BK138" s="358"/>
    </row>
    <row r="139" spans="1:31" ht="48" customHeight="1" thickBot="1">
      <c r="A139" s="1122" t="str">
        <f>+'Result KeyFactorwise NAAC'!A25:C25</f>
        <v>1. DR. RAFIQUE MOHAMMED QURESHI, PRINCIPAL, GOVT. COLLEGE KOTA, KOTA, Mobile No. : 9414329536</v>
      </c>
      <c r="B139" s="1123"/>
      <c r="C139" s="1123"/>
      <c r="D139" s="1123"/>
      <c r="E139" s="1123"/>
      <c r="F139" s="1123"/>
      <c r="G139" s="1123"/>
      <c r="H139" s="1124"/>
      <c r="I139" s="1125" t="str">
        <f>+'Result KeyFactorwise NAAC'!D25</f>
        <v>Team Leader</v>
      </c>
      <c r="J139" s="1126"/>
      <c r="K139" s="568"/>
      <c r="L139" s="568"/>
      <c r="M139" s="568"/>
      <c r="N139" s="568"/>
      <c r="O139" s="568"/>
      <c r="P139" s="568"/>
      <c r="Q139" s="568"/>
      <c r="R139" s="568"/>
      <c r="S139" s="568"/>
      <c r="T139" s="568"/>
      <c r="U139" s="568"/>
      <c r="V139" s="568"/>
      <c r="W139" s="568"/>
      <c r="X139" s="568"/>
      <c r="Y139" s="568"/>
      <c r="Z139" s="568"/>
      <c r="AA139" s="976"/>
      <c r="AB139" s="977"/>
      <c r="AC139" s="977"/>
      <c r="AD139" s="977"/>
      <c r="AE139" s="978"/>
    </row>
    <row r="140" spans="1:31" ht="48" customHeight="1" thickBot="1">
      <c r="A140" s="1122" t="str">
        <f>+'Result KeyFactorwise NAAC'!A26:C26</f>
        <v>2. DR. CHHABI MITTAL, ASSOCIATE PROFESSOR, S.P.C. GOVT. COLLEGE AJMER, AJMER, Mobile No. : 9461190965</v>
      </c>
      <c r="B140" s="1123"/>
      <c r="C140" s="1123"/>
      <c r="D140" s="1123"/>
      <c r="E140" s="1123"/>
      <c r="F140" s="1123"/>
      <c r="G140" s="1123"/>
      <c r="H140" s="1124"/>
      <c r="I140" s="1125" t="str">
        <f>+'Result KeyFactorwise NAAC'!D26</f>
        <v>Co    Incharge</v>
      </c>
      <c r="J140" s="1126"/>
      <c r="K140" s="568"/>
      <c r="L140" s="568"/>
      <c r="M140" s="568"/>
      <c r="N140" s="568"/>
      <c r="O140" s="568"/>
      <c r="P140" s="568"/>
      <c r="Q140" s="568"/>
      <c r="R140" s="568"/>
      <c r="S140" s="568"/>
      <c r="T140" s="568"/>
      <c r="U140" s="568"/>
      <c r="V140" s="568"/>
      <c r="W140" s="568"/>
      <c r="X140" s="568"/>
      <c r="Y140" s="568"/>
      <c r="Z140" s="568"/>
      <c r="AA140" s="976"/>
      <c r="AB140" s="977"/>
      <c r="AC140" s="977"/>
      <c r="AD140" s="977"/>
      <c r="AE140" s="978"/>
    </row>
    <row r="141" spans="1:31" ht="48" customHeight="1" thickBot="1">
      <c r="A141" s="1122" t="str">
        <f>+'Result KeyFactorwise NAAC'!A27:C27</f>
        <v>3. DR. SUNIL KUMAR GOYAL, ASSISTANT PROFESSOR, S.P.C. GOVT. COLLEGE AJMER, AJMER, Mobile No. : 9887165968</v>
      </c>
      <c r="B141" s="1123"/>
      <c r="C141" s="1123"/>
      <c r="D141" s="1123"/>
      <c r="E141" s="1123"/>
      <c r="F141" s="1123"/>
      <c r="G141" s="1123"/>
      <c r="H141" s="1124"/>
      <c r="I141" s="1125" t="str">
        <f>+'Result KeyFactorwise NAAC'!D27</f>
        <v>Member</v>
      </c>
      <c r="J141" s="1126"/>
      <c r="K141" s="568"/>
      <c r="L141" s="568"/>
      <c r="M141" s="568"/>
      <c r="N141" s="568"/>
      <c r="O141" s="568"/>
      <c r="P141" s="568"/>
      <c r="Q141" s="568"/>
      <c r="R141" s="568"/>
      <c r="S141" s="568"/>
      <c r="T141" s="568"/>
      <c r="U141" s="568"/>
      <c r="V141" s="568"/>
      <c r="W141" s="568"/>
      <c r="X141" s="568"/>
      <c r="Y141" s="568"/>
      <c r="Z141" s="568"/>
      <c r="AA141" s="976"/>
      <c r="AB141" s="977"/>
      <c r="AC141" s="977"/>
      <c r="AD141" s="977"/>
      <c r="AE141" s="978"/>
    </row>
    <row r="142" spans="1:31" ht="36" customHeight="1" thickBot="1">
      <c r="A142" s="1128" t="s">
        <v>248</v>
      </c>
      <c r="B142" s="1129"/>
      <c r="C142" s="1129"/>
      <c r="D142" s="1129"/>
      <c r="E142" s="1129"/>
      <c r="F142" s="1130"/>
      <c r="G142" s="570"/>
      <c r="H142" s="981"/>
      <c r="I142" s="982"/>
      <c r="J142" s="982"/>
      <c r="K142" s="982"/>
      <c r="L142" s="982"/>
      <c r="M142" s="982"/>
      <c r="N142" s="982"/>
      <c r="O142" s="982"/>
      <c r="P142" s="982"/>
      <c r="Q142" s="982"/>
      <c r="R142" s="982"/>
      <c r="S142" s="982"/>
      <c r="T142" s="982"/>
      <c r="U142" s="982"/>
      <c r="V142" s="982"/>
      <c r="W142" s="982"/>
      <c r="X142" s="982"/>
      <c r="Y142" s="982"/>
      <c r="Z142" s="982"/>
      <c r="AA142" s="982"/>
      <c r="AB142" s="982"/>
      <c r="AC142" s="982"/>
      <c r="AD142" s="982"/>
      <c r="AE142" s="983"/>
    </row>
    <row r="143" spans="1:31" ht="54.75" customHeight="1" thickBot="1">
      <c r="A143" s="1122" t="str">
        <f>+'Result KeyFactorwise NAAC'!A29:D29</f>
        <v>DR. L.P.MAHAWAR, Principal, SETH R.L.SAHARIA GOVT. P.G. COLLEGE KALADERA, KALADERA (JAIPUR) (16), Mobile No. : 9414280324</v>
      </c>
      <c r="B143" s="1123"/>
      <c r="C143" s="1123"/>
      <c r="D143" s="1123"/>
      <c r="E143" s="1123"/>
      <c r="F143" s="1123"/>
      <c r="G143" s="1123"/>
      <c r="H143" s="1123"/>
      <c r="I143" s="1123"/>
      <c r="J143" s="1123"/>
      <c r="K143" s="701"/>
      <c r="L143" s="701"/>
      <c r="M143" s="701"/>
      <c r="N143" s="701"/>
      <c r="O143" s="701"/>
      <c r="P143" s="701"/>
      <c r="Q143" s="701"/>
      <c r="R143" s="701"/>
      <c r="S143" s="701"/>
      <c r="T143" s="701"/>
      <c r="U143" s="701"/>
      <c r="V143" s="701"/>
      <c r="W143" s="701"/>
      <c r="X143" s="701"/>
      <c r="Y143" s="701"/>
      <c r="Z143" s="701"/>
      <c r="AA143" s="976"/>
      <c r="AB143" s="977"/>
      <c r="AC143" s="977"/>
      <c r="AD143" s="977"/>
      <c r="AE143" s="978"/>
    </row>
    <row r="144" spans="1:29" ht="25.5" hidden="1">
      <c r="A144" s="441"/>
      <c r="B144" s="441"/>
      <c r="C144" s="268"/>
      <c r="D144" s="270"/>
      <c r="E144" s="219"/>
      <c r="F144" s="219"/>
      <c r="G144" s="1"/>
      <c r="H144" s="1"/>
      <c r="I144" s="69"/>
      <c r="J144" s="1"/>
      <c r="K144" s="30"/>
      <c r="L144" s="30"/>
      <c r="M144" s="30"/>
      <c r="N144" s="30"/>
      <c r="O144" s="3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56"/>
      <c r="AA144" s="256"/>
      <c r="AB144" s="256"/>
      <c r="AC144" s="256"/>
    </row>
    <row r="145" spans="1:29" ht="18.75" hidden="1">
      <c r="A145" s="441"/>
      <c r="B145" s="441"/>
      <c r="C145" s="268"/>
      <c r="D145" s="270"/>
      <c r="E145" s="219"/>
      <c r="F145" s="219"/>
      <c r="G145" s="1"/>
      <c r="H145" s="1"/>
      <c r="I145" s="177"/>
      <c r="J145" s="177"/>
      <c r="K145" s="30"/>
      <c r="L145" s="30"/>
      <c r="M145" s="30"/>
      <c r="N145" s="30"/>
      <c r="O145" s="3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56"/>
      <c r="AA145" s="256"/>
      <c r="AB145" s="256"/>
      <c r="AC145" s="256"/>
    </row>
    <row r="146" spans="1:29" ht="25.5" hidden="1">
      <c r="A146" s="441"/>
      <c r="B146" s="441"/>
      <c r="C146" s="268"/>
      <c r="D146" s="270"/>
      <c r="E146" s="219"/>
      <c r="F146" s="219"/>
      <c r="G146" s="1"/>
      <c r="H146" s="1"/>
      <c r="I146" s="69"/>
      <c r="J146" s="178"/>
      <c r="K146" s="30"/>
      <c r="L146" s="30"/>
      <c r="M146" s="30"/>
      <c r="N146" s="30"/>
      <c r="O146" s="3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56"/>
      <c r="AA146" s="256"/>
      <c r="AB146" s="256"/>
      <c r="AC146" s="256"/>
    </row>
    <row r="147" spans="1:29" ht="25.5" hidden="1">
      <c r="A147" s="441"/>
      <c r="B147" s="441"/>
      <c r="C147" s="268"/>
      <c r="D147" s="270"/>
      <c r="E147" s="219"/>
      <c r="F147" s="219"/>
      <c r="G147" s="1"/>
      <c r="H147" s="1"/>
      <c r="I147" s="69"/>
      <c r="J147" s="1"/>
      <c r="K147" s="30"/>
      <c r="L147" s="30"/>
      <c r="M147" s="30"/>
      <c r="N147" s="30"/>
      <c r="O147" s="3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56"/>
      <c r="AA147" s="256"/>
      <c r="AB147" s="256"/>
      <c r="AC147" s="256"/>
    </row>
    <row r="148" spans="1:29" ht="25.5" hidden="1">
      <c r="A148" s="441"/>
      <c r="B148" s="441"/>
      <c r="C148" s="268"/>
      <c r="D148" s="270"/>
      <c r="E148" s="219"/>
      <c r="F148" s="219"/>
      <c r="G148" s="1"/>
      <c r="H148" s="1"/>
      <c r="I148" s="69"/>
      <c r="J148" s="1"/>
      <c r="K148" s="30"/>
      <c r="L148" s="30"/>
      <c r="M148" s="30"/>
      <c r="N148" s="30"/>
      <c r="O148" s="3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56"/>
      <c r="AA148" s="256"/>
      <c r="AB148" s="256"/>
      <c r="AC148" s="256"/>
    </row>
    <row r="149" spans="1:29" ht="25.5" hidden="1">
      <c r="A149" s="441"/>
      <c r="B149" s="441"/>
      <c r="C149" s="268"/>
      <c r="D149" s="270"/>
      <c r="E149" s="219"/>
      <c r="F149" s="219"/>
      <c r="G149" s="1"/>
      <c r="H149" s="1"/>
      <c r="I149" s="69"/>
      <c r="J149" s="1"/>
      <c r="K149" s="30"/>
      <c r="L149" s="30"/>
      <c r="M149" s="30"/>
      <c r="N149" s="30"/>
      <c r="O149" s="3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56"/>
      <c r="AA149" s="256"/>
      <c r="AB149" s="256"/>
      <c r="AC149" s="256"/>
    </row>
    <row r="150" spans="1:29" ht="25.5" hidden="1">
      <c r="A150" s="441"/>
      <c r="B150" s="441"/>
      <c r="C150" s="268"/>
      <c r="D150" s="270"/>
      <c r="E150" s="219"/>
      <c r="F150" s="219"/>
      <c r="G150" s="1"/>
      <c r="H150" s="1"/>
      <c r="I150" s="69"/>
      <c r="J150" s="1"/>
      <c r="K150" s="30"/>
      <c r="L150" s="30"/>
      <c r="M150" s="30"/>
      <c r="N150" s="30"/>
      <c r="O150" s="3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56"/>
      <c r="AA150" s="256"/>
      <c r="AB150" s="256"/>
      <c r="AC150" s="256"/>
    </row>
    <row r="151" spans="1:29" ht="25.5" hidden="1">
      <c r="A151" s="441"/>
      <c r="B151" s="441"/>
      <c r="C151" s="268"/>
      <c r="D151" s="270"/>
      <c r="E151" s="219"/>
      <c r="F151" s="219"/>
      <c r="G151" s="1"/>
      <c r="H151" s="1"/>
      <c r="I151" s="69"/>
      <c r="J151" s="1"/>
      <c r="K151" s="30"/>
      <c r="L151" s="30"/>
      <c r="M151" s="30"/>
      <c r="N151" s="30"/>
      <c r="O151" s="30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56"/>
      <c r="AA151" s="256"/>
      <c r="AB151" s="256"/>
      <c r="AC151" s="256"/>
    </row>
    <row r="152" spans="1:29" ht="25.5" hidden="1">
      <c r="A152" s="441"/>
      <c r="B152" s="441"/>
      <c r="C152" s="268"/>
      <c r="D152" s="270"/>
      <c r="E152" s="219"/>
      <c r="F152" s="219"/>
      <c r="G152" s="1"/>
      <c r="H152" s="1"/>
      <c r="I152" s="69"/>
      <c r="J152" s="1"/>
      <c r="K152" s="30"/>
      <c r="L152" s="30"/>
      <c r="M152" s="30"/>
      <c r="N152" s="30"/>
      <c r="O152" s="3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56"/>
      <c r="AA152" s="256"/>
      <c r="AB152" s="256"/>
      <c r="AC152" s="256"/>
    </row>
    <row r="153" spans="1:29" ht="25.5" hidden="1">
      <c r="A153" s="441"/>
      <c r="B153" s="441"/>
      <c r="C153" s="268"/>
      <c r="D153" s="270"/>
      <c r="E153" s="219"/>
      <c r="F153" s="219"/>
      <c r="G153" s="1"/>
      <c r="H153" s="1"/>
      <c r="I153" s="69"/>
      <c r="J153" s="1"/>
      <c r="K153" s="30"/>
      <c r="L153" s="30"/>
      <c r="M153" s="30"/>
      <c r="N153" s="30"/>
      <c r="O153" s="3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56"/>
      <c r="AA153" s="256"/>
      <c r="AB153" s="256"/>
      <c r="AC153" s="256"/>
    </row>
    <row r="154" spans="1:29" ht="25.5" hidden="1">
      <c r="A154" s="441"/>
      <c r="B154" s="441"/>
      <c r="C154" s="268"/>
      <c r="D154" s="270"/>
      <c r="E154" s="219"/>
      <c r="F154" s="219"/>
      <c r="G154" s="1"/>
      <c r="H154" s="1"/>
      <c r="I154" s="69"/>
      <c r="J154" s="1"/>
      <c r="K154" s="30"/>
      <c r="L154" s="30"/>
      <c r="M154" s="30"/>
      <c r="N154" s="30"/>
      <c r="O154" s="3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56"/>
      <c r="AA154" s="256"/>
      <c r="AB154" s="256"/>
      <c r="AC154" s="256"/>
    </row>
    <row r="155" spans="1:29" ht="25.5" hidden="1">
      <c r="A155" s="441"/>
      <c r="B155" s="441"/>
      <c r="C155" s="268"/>
      <c r="D155" s="270"/>
      <c r="E155" s="219"/>
      <c r="F155" s="219"/>
      <c r="G155" s="1"/>
      <c r="H155" s="1"/>
      <c r="I155" s="69"/>
      <c r="J155" s="1"/>
      <c r="K155" s="30"/>
      <c r="L155" s="30"/>
      <c r="M155" s="30"/>
      <c r="N155" s="30"/>
      <c r="O155" s="3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56"/>
      <c r="AA155" s="256"/>
      <c r="AB155" s="256"/>
      <c r="AC155" s="256"/>
    </row>
    <row r="156" spans="1:29" ht="25.5" hidden="1">
      <c r="A156" s="441"/>
      <c r="B156" s="441"/>
      <c r="C156" s="268"/>
      <c r="D156" s="270"/>
      <c r="E156" s="219"/>
      <c r="F156" s="219"/>
      <c r="G156" s="1"/>
      <c r="H156" s="1"/>
      <c r="I156" s="69"/>
      <c r="J156" s="1"/>
      <c r="K156" s="30"/>
      <c r="L156" s="30"/>
      <c r="M156" s="30"/>
      <c r="N156" s="30"/>
      <c r="O156" s="3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56"/>
      <c r="AA156" s="256"/>
      <c r="AB156" s="256"/>
      <c r="AC156" s="256"/>
    </row>
    <row r="157" spans="1:29" ht="25.5" hidden="1">
      <c r="A157" s="441"/>
      <c r="B157" s="441"/>
      <c r="C157" s="268"/>
      <c r="D157" s="270"/>
      <c r="E157" s="219"/>
      <c r="F157" s="219"/>
      <c r="G157" s="1"/>
      <c r="H157" s="1"/>
      <c r="I157" s="69"/>
      <c r="J157" s="1"/>
      <c r="K157" s="30"/>
      <c r="L157" s="30"/>
      <c r="M157" s="30"/>
      <c r="N157" s="30"/>
      <c r="O157" s="3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56"/>
      <c r="AA157" s="256"/>
      <c r="AB157" s="256"/>
      <c r="AC157" s="256"/>
    </row>
    <row r="158" spans="1:29" ht="25.5" hidden="1">
      <c r="A158" s="441"/>
      <c r="B158" s="441"/>
      <c r="C158" s="268"/>
      <c r="D158" s="270"/>
      <c r="E158" s="219"/>
      <c r="F158" s="219"/>
      <c r="G158" s="1"/>
      <c r="H158" s="1"/>
      <c r="I158" s="69"/>
      <c r="J158" s="1"/>
      <c r="K158" s="30"/>
      <c r="L158" s="30"/>
      <c r="M158" s="30"/>
      <c r="N158" s="30"/>
      <c r="O158" s="3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56"/>
      <c r="AA158" s="256"/>
      <c r="AB158" s="256"/>
      <c r="AC158" s="256"/>
    </row>
    <row r="159" spans="1:29" ht="25.5" hidden="1">
      <c r="A159" s="441"/>
      <c r="B159" s="441"/>
      <c r="C159" s="268"/>
      <c r="D159" s="270"/>
      <c r="E159" s="219"/>
      <c r="F159" s="219"/>
      <c r="G159" s="1"/>
      <c r="H159" s="1"/>
      <c r="I159" s="69"/>
      <c r="J159" s="1"/>
      <c r="K159" s="30"/>
      <c r="L159" s="30"/>
      <c r="M159" s="30"/>
      <c r="N159" s="30"/>
      <c r="O159" s="3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56"/>
      <c r="AA159" s="256"/>
      <c r="AB159" s="256"/>
      <c r="AC159" s="256"/>
    </row>
    <row r="160" spans="1:29" ht="25.5" hidden="1">
      <c r="A160" s="441"/>
      <c r="B160" s="441"/>
      <c r="C160" s="268"/>
      <c r="D160" s="270"/>
      <c r="E160" s="219"/>
      <c r="F160" s="219"/>
      <c r="G160" s="1"/>
      <c r="H160" s="1"/>
      <c r="I160" s="69"/>
      <c r="J160" s="1"/>
      <c r="K160" s="30"/>
      <c r="L160" s="30"/>
      <c r="M160" s="30"/>
      <c r="N160" s="30"/>
      <c r="O160" s="3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56"/>
      <c r="AA160" s="256"/>
      <c r="AB160" s="256"/>
      <c r="AC160" s="256"/>
    </row>
    <row r="161" spans="1:29" ht="25.5" hidden="1">
      <c r="A161" s="441"/>
      <c r="B161" s="441"/>
      <c r="C161" s="268"/>
      <c r="D161" s="270"/>
      <c r="E161" s="219"/>
      <c r="F161" s="219"/>
      <c r="G161" s="1"/>
      <c r="H161" s="1"/>
      <c r="I161" s="69"/>
      <c r="J161" s="1"/>
      <c r="K161" s="30"/>
      <c r="L161" s="30"/>
      <c r="M161" s="30"/>
      <c r="N161" s="30"/>
      <c r="O161" s="3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56"/>
      <c r="AA161" s="256"/>
      <c r="AB161" s="256"/>
      <c r="AC161" s="256"/>
    </row>
    <row r="162" spans="1:29" ht="25.5" hidden="1">
      <c r="A162" s="441"/>
      <c r="B162" s="441"/>
      <c r="C162" s="268"/>
      <c r="D162" s="270"/>
      <c r="E162" s="219"/>
      <c r="F162" s="219"/>
      <c r="G162" s="1"/>
      <c r="H162" s="1"/>
      <c r="I162" s="69"/>
      <c r="J162" s="1"/>
      <c r="K162" s="30"/>
      <c r="L162" s="30"/>
      <c r="M162" s="30"/>
      <c r="N162" s="30"/>
      <c r="O162" s="3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56"/>
      <c r="AA162" s="256"/>
      <c r="AB162" s="256"/>
      <c r="AC162" s="256"/>
    </row>
    <row r="163" spans="1:29" ht="25.5" hidden="1">
      <c r="A163" s="441"/>
      <c r="B163" s="441"/>
      <c r="C163" s="268"/>
      <c r="D163" s="270"/>
      <c r="E163" s="219"/>
      <c r="F163" s="219"/>
      <c r="G163" s="1"/>
      <c r="H163" s="1"/>
      <c r="I163" s="69"/>
      <c r="J163" s="1"/>
      <c r="K163" s="30"/>
      <c r="L163" s="30"/>
      <c r="M163" s="30"/>
      <c r="N163" s="30"/>
      <c r="O163" s="3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56"/>
      <c r="AA163" s="256"/>
      <c r="AB163" s="256"/>
      <c r="AC163" s="256"/>
    </row>
    <row r="164" spans="1:29" ht="25.5" hidden="1">
      <c r="A164" s="441"/>
      <c r="B164" s="441"/>
      <c r="C164" s="268"/>
      <c r="D164" s="270"/>
      <c r="E164" s="219"/>
      <c r="F164" s="219"/>
      <c r="G164" s="1"/>
      <c r="H164" s="1"/>
      <c r="I164" s="69"/>
      <c r="J164" s="1"/>
      <c r="K164" s="30"/>
      <c r="L164" s="30"/>
      <c r="M164" s="30"/>
      <c r="N164" s="30"/>
      <c r="O164" s="3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56"/>
      <c r="AA164" s="256"/>
      <c r="AB164" s="256"/>
      <c r="AC164" s="256"/>
    </row>
    <row r="165" spans="1:29" ht="25.5" hidden="1">
      <c r="A165" s="441"/>
      <c r="B165" s="441"/>
      <c r="C165" s="268"/>
      <c r="D165" s="270"/>
      <c r="E165" s="219"/>
      <c r="F165" s="219"/>
      <c r="G165" s="1"/>
      <c r="H165" s="1"/>
      <c r="I165" s="69"/>
      <c r="J165" s="1"/>
      <c r="K165" s="30"/>
      <c r="L165" s="30"/>
      <c r="M165" s="30"/>
      <c r="N165" s="30"/>
      <c r="O165" s="3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56"/>
      <c r="AA165" s="256"/>
      <c r="AB165" s="256"/>
      <c r="AC165" s="256"/>
    </row>
    <row r="166" spans="1:29" ht="25.5" hidden="1">
      <c r="A166" s="441"/>
      <c r="B166" s="441"/>
      <c r="C166" s="268"/>
      <c r="D166" s="270"/>
      <c r="E166" s="219"/>
      <c r="F166" s="219"/>
      <c r="G166" s="1"/>
      <c r="H166" s="1"/>
      <c r="I166" s="69"/>
      <c r="J166" s="1"/>
      <c r="K166" s="30"/>
      <c r="L166" s="30"/>
      <c r="M166" s="30"/>
      <c r="N166" s="30"/>
      <c r="O166" s="3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56"/>
      <c r="AA166" s="256"/>
      <c r="AB166" s="256"/>
      <c r="AC166" s="256"/>
    </row>
    <row r="167" spans="1:29" ht="25.5" hidden="1">
      <c r="A167" s="441"/>
      <c r="B167" s="441"/>
      <c r="C167" s="268"/>
      <c r="D167" s="270"/>
      <c r="E167" s="219"/>
      <c r="F167" s="219"/>
      <c r="G167" s="1"/>
      <c r="H167" s="1"/>
      <c r="I167" s="69"/>
      <c r="J167" s="1"/>
      <c r="K167" s="30"/>
      <c r="L167" s="30"/>
      <c r="M167" s="30"/>
      <c r="N167" s="30"/>
      <c r="O167" s="3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56"/>
      <c r="AA167" s="256"/>
      <c r="AB167" s="256"/>
      <c r="AC167" s="256"/>
    </row>
    <row r="168" spans="1:29" ht="25.5" hidden="1">
      <c r="A168" s="441"/>
      <c r="B168" s="441"/>
      <c r="C168" s="268"/>
      <c r="D168" s="270"/>
      <c r="E168" s="219"/>
      <c r="F168" s="219"/>
      <c r="G168" s="1"/>
      <c r="H168" s="1"/>
      <c r="I168" s="69"/>
      <c r="J168" s="1"/>
      <c r="K168" s="30"/>
      <c r="L168" s="30"/>
      <c r="M168" s="30"/>
      <c r="N168" s="30"/>
      <c r="O168" s="3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56"/>
      <c r="AA168" s="256"/>
      <c r="AB168" s="256"/>
      <c r="AC168" s="256"/>
    </row>
    <row r="169" spans="1:29" ht="25.5" hidden="1">
      <c r="A169" s="441"/>
      <c r="B169" s="441"/>
      <c r="C169" s="268"/>
      <c r="D169" s="270"/>
      <c r="E169" s="219"/>
      <c r="F169" s="219"/>
      <c r="G169" s="1"/>
      <c r="H169" s="1"/>
      <c r="I169" s="69"/>
      <c r="J169" s="1"/>
      <c r="K169" s="30"/>
      <c r="L169" s="30"/>
      <c r="M169" s="30"/>
      <c r="N169" s="30"/>
      <c r="O169" s="3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56"/>
      <c r="AA169" s="256"/>
      <c r="AB169" s="256"/>
      <c r="AC169" s="256"/>
    </row>
    <row r="170" spans="1:29" ht="25.5" hidden="1">
      <c r="A170" s="441"/>
      <c r="B170" s="441"/>
      <c r="C170" s="268"/>
      <c r="D170" s="270"/>
      <c r="E170" s="219"/>
      <c r="F170" s="219"/>
      <c r="G170" s="1"/>
      <c r="H170" s="1"/>
      <c r="I170" s="69"/>
      <c r="J170" s="1"/>
      <c r="K170" s="30"/>
      <c r="L170" s="30"/>
      <c r="M170" s="30"/>
      <c r="N170" s="30"/>
      <c r="O170" s="3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56"/>
      <c r="AA170" s="256"/>
      <c r="AB170" s="256"/>
      <c r="AC170" s="256"/>
    </row>
    <row r="171" spans="1:29" ht="25.5" hidden="1">
      <c r="A171" s="441"/>
      <c r="B171" s="441"/>
      <c r="C171" s="268"/>
      <c r="D171" s="270"/>
      <c r="E171" s="219"/>
      <c r="F171" s="219"/>
      <c r="G171" s="1"/>
      <c r="H171" s="1"/>
      <c r="I171" s="69"/>
      <c r="J171" s="1"/>
      <c r="K171" s="30"/>
      <c r="L171" s="30"/>
      <c r="M171" s="30"/>
      <c r="N171" s="30"/>
      <c r="O171" s="3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56"/>
      <c r="AA171" s="256"/>
      <c r="AB171" s="256"/>
      <c r="AC171" s="256"/>
    </row>
    <row r="172" spans="1:29" ht="25.5" hidden="1">
      <c r="A172" s="441"/>
      <c r="B172" s="441"/>
      <c r="C172" s="268"/>
      <c r="D172" s="270"/>
      <c r="E172" s="219"/>
      <c r="F172" s="219"/>
      <c r="G172" s="1"/>
      <c r="H172" s="1"/>
      <c r="I172" s="69"/>
      <c r="J172" s="1"/>
      <c r="K172" s="30"/>
      <c r="L172" s="30"/>
      <c r="M172" s="30"/>
      <c r="N172" s="30"/>
      <c r="O172" s="3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56"/>
      <c r="AA172" s="256"/>
      <c r="AB172" s="256"/>
      <c r="AC172" s="256"/>
    </row>
    <row r="173" spans="1:29" ht="25.5" hidden="1">
      <c r="A173" s="441"/>
      <c r="B173" s="441"/>
      <c r="C173" s="268"/>
      <c r="D173" s="270"/>
      <c r="E173" s="219"/>
      <c r="F173" s="219"/>
      <c r="G173" s="1"/>
      <c r="H173" s="1"/>
      <c r="I173" s="69"/>
      <c r="J173" s="1"/>
      <c r="K173" s="30"/>
      <c r="L173" s="30"/>
      <c r="M173" s="30"/>
      <c r="N173" s="30"/>
      <c r="O173" s="3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56"/>
      <c r="AA173" s="256"/>
      <c r="AB173" s="256"/>
      <c r="AC173" s="256"/>
    </row>
    <row r="174" spans="11:15" ht="25.5" hidden="1">
      <c r="K174" s="31"/>
      <c r="L174" s="31"/>
      <c r="M174" s="31"/>
      <c r="N174" s="31"/>
      <c r="O174" s="31"/>
    </row>
    <row r="175" spans="11:15" ht="25.5" hidden="1">
      <c r="K175" s="31"/>
      <c r="L175" s="31"/>
      <c r="M175" s="31"/>
      <c r="N175" s="31"/>
      <c r="O175" s="31"/>
    </row>
    <row r="176" spans="11:15" ht="25.5" hidden="1">
      <c r="K176" s="31"/>
      <c r="L176" s="31"/>
      <c r="M176" s="31"/>
      <c r="N176" s="31"/>
      <c r="O176" s="31"/>
    </row>
    <row r="177" spans="11:15" ht="25.5" hidden="1">
      <c r="K177" s="31"/>
      <c r="L177" s="31"/>
      <c r="M177" s="31"/>
      <c r="N177" s="31"/>
      <c r="O177" s="31"/>
    </row>
    <row r="178" spans="11:15" ht="25.5" hidden="1">
      <c r="K178" s="31"/>
      <c r="L178" s="31"/>
      <c r="M178" s="31"/>
      <c r="N178" s="31"/>
      <c r="O178" s="31"/>
    </row>
    <row r="179" spans="11:15" ht="25.5" hidden="1">
      <c r="K179" s="31"/>
      <c r="L179" s="31"/>
      <c r="M179" s="31"/>
      <c r="N179" s="31"/>
      <c r="O179" s="31"/>
    </row>
    <row r="180" spans="11:15" ht="25.5" hidden="1">
      <c r="K180" s="31"/>
      <c r="L180" s="31"/>
      <c r="M180" s="31"/>
      <c r="N180" s="31"/>
      <c r="O180" s="31"/>
    </row>
    <row r="181" spans="11:15" ht="25.5" hidden="1">
      <c r="K181" s="31"/>
      <c r="L181" s="31"/>
      <c r="M181" s="31"/>
      <c r="N181" s="31"/>
      <c r="O181" s="31"/>
    </row>
    <row r="182" spans="11:15" ht="25.5" hidden="1">
      <c r="K182" s="31"/>
      <c r="L182" s="31"/>
      <c r="M182" s="31"/>
      <c r="N182" s="31"/>
      <c r="O182" s="31"/>
    </row>
    <row r="183" spans="11:15" ht="25.5" hidden="1">
      <c r="K183" s="31"/>
      <c r="L183" s="31"/>
      <c r="M183" s="31"/>
      <c r="N183" s="31"/>
      <c r="O183" s="31"/>
    </row>
    <row r="184" spans="11:15" ht="25.5" hidden="1">
      <c r="K184" s="31"/>
      <c r="L184" s="31"/>
      <c r="M184" s="31"/>
      <c r="N184" s="31"/>
      <c r="O184" s="31"/>
    </row>
    <row r="185" spans="11:15" ht="25.5" hidden="1">
      <c r="K185" s="31"/>
      <c r="L185" s="31"/>
      <c r="M185" s="31"/>
      <c r="N185" s="31"/>
      <c r="O185" s="31"/>
    </row>
    <row r="186" spans="11:15" ht="25.5" hidden="1">
      <c r="K186" s="31"/>
      <c r="L186" s="31"/>
      <c r="M186" s="31"/>
      <c r="N186" s="31"/>
      <c r="O186" s="31"/>
    </row>
    <row r="187" spans="11:15" ht="25.5" hidden="1">
      <c r="K187" s="31"/>
      <c r="L187" s="31"/>
      <c r="M187" s="31"/>
      <c r="N187" s="31"/>
      <c r="O187" s="31"/>
    </row>
    <row r="188" spans="11:15" ht="25.5" hidden="1">
      <c r="K188" s="31"/>
      <c r="L188" s="31"/>
      <c r="M188" s="31"/>
      <c r="N188" s="31"/>
      <c r="O188" s="31"/>
    </row>
    <row r="189" spans="11:15" ht="25.5" hidden="1">
      <c r="K189" s="31"/>
      <c r="L189" s="31"/>
      <c r="M189" s="31"/>
      <c r="N189" s="31"/>
      <c r="O189" s="31"/>
    </row>
    <row r="190" spans="11:15" ht="25.5" hidden="1">
      <c r="K190" s="31"/>
      <c r="L190" s="31"/>
      <c r="M190" s="31"/>
      <c r="N190" s="31"/>
      <c r="O190" s="31"/>
    </row>
    <row r="191" spans="11:15" ht="25.5" hidden="1">
      <c r="K191" s="31"/>
      <c r="L191" s="31"/>
      <c r="M191" s="31"/>
      <c r="N191" s="31"/>
      <c r="O191" s="31"/>
    </row>
  </sheetData>
  <sheetProtection password="EAF4" sheet="1" objects="1" scenarios="1" selectLockedCells="1"/>
  <mergeCells count="293">
    <mergeCell ref="A143:J143"/>
    <mergeCell ref="AA143:AE143"/>
    <mergeCell ref="AA139:AE139"/>
    <mergeCell ref="A139:H139"/>
    <mergeCell ref="I140:J140"/>
    <mergeCell ref="I141:J141"/>
    <mergeCell ref="A140:H140"/>
    <mergeCell ref="AA140:AE140"/>
    <mergeCell ref="A141:H141"/>
    <mergeCell ref="AA141:AE141"/>
    <mergeCell ref="A128:A134"/>
    <mergeCell ref="A135:A137"/>
    <mergeCell ref="B135:B137"/>
    <mergeCell ref="B128:B131"/>
    <mergeCell ref="H142:AE142"/>
    <mergeCell ref="E134:F134"/>
    <mergeCell ref="A138:AE138"/>
    <mergeCell ref="A142:F142"/>
    <mergeCell ref="I139:J139"/>
    <mergeCell ref="V6:W6"/>
    <mergeCell ref="X6:Y6"/>
    <mergeCell ref="A5:A6"/>
    <mergeCell ref="B124:B127"/>
    <mergeCell ref="A121:A127"/>
    <mergeCell ref="B121:B123"/>
    <mergeCell ref="B16:B19"/>
    <mergeCell ref="A16:A25"/>
    <mergeCell ref="B26:B33"/>
    <mergeCell ref="A26:A33"/>
    <mergeCell ref="A34:A37"/>
    <mergeCell ref="A38:A40"/>
    <mergeCell ref="B38:B40"/>
    <mergeCell ref="AG113:AZ113"/>
    <mergeCell ref="AG114:AZ114"/>
    <mergeCell ref="AG115:AZ115"/>
    <mergeCell ref="AG116:AZ116"/>
    <mergeCell ref="A41:A45"/>
    <mergeCell ref="B51:B59"/>
    <mergeCell ref="A51:A59"/>
    <mergeCell ref="A60:A68"/>
    <mergeCell ref="B60:B68"/>
    <mergeCell ref="B69:B71"/>
    <mergeCell ref="AG130:AZ130"/>
    <mergeCell ref="AG131:AZ131"/>
    <mergeCell ref="AG132:AZ132"/>
    <mergeCell ref="AG133:AZ133"/>
    <mergeCell ref="AG134:AZ134"/>
    <mergeCell ref="AG108:AZ108"/>
    <mergeCell ref="AG109:AZ109"/>
    <mergeCell ref="AG110:AZ110"/>
    <mergeCell ref="AG111:AZ111"/>
    <mergeCell ref="AG112:AZ112"/>
    <mergeCell ref="AG135:AZ135"/>
    <mergeCell ref="AG136:AZ136"/>
    <mergeCell ref="AG137:AZ137"/>
    <mergeCell ref="AG123:AZ123"/>
    <mergeCell ref="AG124:AZ124"/>
    <mergeCell ref="AG125:AZ125"/>
    <mergeCell ref="AG126:AZ126"/>
    <mergeCell ref="AG127:AZ127"/>
    <mergeCell ref="AG128:AZ128"/>
    <mergeCell ref="AG129:AZ129"/>
    <mergeCell ref="AG117:AZ117"/>
    <mergeCell ref="AG118:AZ118"/>
    <mergeCell ref="AG119:AZ119"/>
    <mergeCell ref="AG120:AZ120"/>
    <mergeCell ref="AG121:AZ121"/>
    <mergeCell ref="AG122:AZ122"/>
    <mergeCell ref="AG103:AZ103"/>
    <mergeCell ref="AG104:AZ104"/>
    <mergeCell ref="AG105:AZ105"/>
    <mergeCell ref="AG106:AZ106"/>
    <mergeCell ref="AG107:AZ107"/>
    <mergeCell ref="AG99:AZ99"/>
    <mergeCell ref="AG100:AZ100"/>
    <mergeCell ref="AG101:AZ101"/>
    <mergeCell ref="AG85:AZ85"/>
    <mergeCell ref="AG86:AZ86"/>
    <mergeCell ref="AG87:AZ87"/>
    <mergeCell ref="AG88:AZ88"/>
    <mergeCell ref="AG89:AZ89"/>
    <mergeCell ref="AG102:AZ102"/>
    <mergeCell ref="AG93:AZ93"/>
    <mergeCell ref="AG94:AZ94"/>
    <mergeCell ref="AG95:AZ95"/>
    <mergeCell ref="AG96:AZ96"/>
    <mergeCell ref="AG97:AZ97"/>
    <mergeCell ref="AG98:AZ98"/>
    <mergeCell ref="AG78:AZ78"/>
    <mergeCell ref="AG79:AZ79"/>
    <mergeCell ref="AG80:AZ80"/>
    <mergeCell ref="AG90:AZ90"/>
    <mergeCell ref="AG91:AZ91"/>
    <mergeCell ref="AG92:AZ92"/>
    <mergeCell ref="AG81:AZ81"/>
    <mergeCell ref="AG82:AZ82"/>
    <mergeCell ref="AG83:AZ83"/>
    <mergeCell ref="AG84:AZ84"/>
    <mergeCell ref="AG72:AZ72"/>
    <mergeCell ref="AG73:AZ73"/>
    <mergeCell ref="AG74:AZ74"/>
    <mergeCell ref="AG75:AZ75"/>
    <mergeCell ref="AG76:AZ76"/>
    <mergeCell ref="AG77:AZ77"/>
    <mergeCell ref="AG66:AZ66"/>
    <mergeCell ref="AG67:AZ67"/>
    <mergeCell ref="AG68:AZ68"/>
    <mergeCell ref="AG69:AZ69"/>
    <mergeCell ref="AG70:AZ70"/>
    <mergeCell ref="AG71:AZ71"/>
    <mergeCell ref="AG60:AZ60"/>
    <mergeCell ref="AG61:AZ61"/>
    <mergeCell ref="AG62:AZ62"/>
    <mergeCell ref="AG63:AZ63"/>
    <mergeCell ref="AG64:AZ64"/>
    <mergeCell ref="AG65:AZ65"/>
    <mergeCell ref="AG54:AZ54"/>
    <mergeCell ref="AG55:AZ55"/>
    <mergeCell ref="AG56:AZ56"/>
    <mergeCell ref="AG57:AZ57"/>
    <mergeCell ref="AG58:AZ58"/>
    <mergeCell ref="AG59:AZ59"/>
    <mergeCell ref="AG48:AZ48"/>
    <mergeCell ref="AG49:AZ49"/>
    <mergeCell ref="AG50:AZ50"/>
    <mergeCell ref="AG51:AZ51"/>
    <mergeCell ref="AG52:AZ52"/>
    <mergeCell ref="AG53:AZ53"/>
    <mergeCell ref="AG42:AZ42"/>
    <mergeCell ref="AG43:AZ43"/>
    <mergeCell ref="AG44:AZ44"/>
    <mergeCell ref="AG45:AZ45"/>
    <mergeCell ref="AG46:AZ46"/>
    <mergeCell ref="AG47:AZ47"/>
    <mergeCell ref="AG36:AZ36"/>
    <mergeCell ref="AG37:AZ37"/>
    <mergeCell ref="AG38:AZ38"/>
    <mergeCell ref="AG39:AZ39"/>
    <mergeCell ref="AG40:AZ40"/>
    <mergeCell ref="AG41:AZ41"/>
    <mergeCell ref="AG28:AZ28"/>
    <mergeCell ref="AG29:AZ29"/>
    <mergeCell ref="A1:AE1"/>
    <mergeCell ref="A2:AE2"/>
    <mergeCell ref="A3:AE3"/>
    <mergeCell ref="P5:X5"/>
    <mergeCell ref="AG27:AZ27"/>
    <mergeCell ref="A4:AE4"/>
    <mergeCell ref="B9:B15"/>
    <mergeCell ref="A7:A15"/>
    <mergeCell ref="AG16:AZ16"/>
    <mergeCell ref="AG19:AZ19"/>
    <mergeCell ref="AG23:AZ23"/>
    <mergeCell ref="AG24:AZ24"/>
    <mergeCell ref="AG25:AZ25"/>
    <mergeCell ref="AG13:AZ13"/>
    <mergeCell ref="B7:B8"/>
    <mergeCell ref="AG35:AZ35"/>
    <mergeCell ref="AD5:AD6"/>
    <mergeCell ref="AE5:AE6"/>
    <mergeCell ref="AF5:AF6"/>
    <mergeCell ref="AH3:AH4"/>
    <mergeCell ref="AI1:AI4"/>
    <mergeCell ref="AG5:AZ6"/>
    <mergeCell ref="AG7:AZ7"/>
    <mergeCell ref="AG8:AZ8"/>
    <mergeCell ref="C9:C10"/>
    <mergeCell ref="I9:I10"/>
    <mergeCell ref="J5:J6"/>
    <mergeCell ref="K5:K6"/>
    <mergeCell ref="L5:L6"/>
    <mergeCell ref="B41:B45"/>
    <mergeCell ref="E21:F21"/>
    <mergeCell ref="E22:F22"/>
    <mergeCell ref="E23:F23"/>
    <mergeCell ref="E5:F6"/>
    <mergeCell ref="P6:Q6"/>
    <mergeCell ref="R6:S6"/>
    <mergeCell ref="T6:U6"/>
    <mergeCell ref="B5:B6"/>
    <mergeCell ref="C5:C6"/>
    <mergeCell ref="H5:H6"/>
    <mergeCell ref="M5:M6"/>
    <mergeCell ref="N5:N6"/>
    <mergeCell ref="O5:O6"/>
    <mergeCell ref="E77:F77"/>
    <mergeCell ref="E83:F83"/>
    <mergeCell ref="E80:F80"/>
    <mergeCell ref="E82:F82"/>
    <mergeCell ref="E86:F86"/>
    <mergeCell ref="E59:F59"/>
    <mergeCell ref="E63:F63"/>
    <mergeCell ref="E64:F64"/>
    <mergeCell ref="E66:F66"/>
    <mergeCell ref="E133:F133"/>
    <mergeCell ref="B116:B120"/>
    <mergeCell ref="A116:A120"/>
    <mergeCell ref="E89:F89"/>
    <mergeCell ref="E90:F90"/>
    <mergeCell ref="E91:F91"/>
    <mergeCell ref="E95:F95"/>
    <mergeCell ref="E103:F103"/>
    <mergeCell ref="E104:F104"/>
    <mergeCell ref="B132:B134"/>
    <mergeCell ref="E116:F116"/>
    <mergeCell ref="E117:F117"/>
    <mergeCell ref="E118:F118"/>
    <mergeCell ref="E111:F111"/>
    <mergeCell ref="E112:F112"/>
    <mergeCell ref="E113:F113"/>
    <mergeCell ref="E135:F135"/>
    <mergeCell ref="E136:F136"/>
    <mergeCell ref="E137:F137"/>
    <mergeCell ref="E119:F119"/>
    <mergeCell ref="E132:F132"/>
    <mergeCell ref="E130:F130"/>
    <mergeCell ref="E124:F124"/>
    <mergeCell ref="E120:F120"/>
    <mergeCell ref="E122:F122"/>
    <mergeCell ref="E123:F123"/>
    <mergeCell ref="B72:B74"/>
    <mergeCell ref="B75:B84"/>
    <mergeCell ref="B48:B50"/>
    <mergeCell ref="B93:B102"/>
    <mergeCell ref="A93:A102"/>
    <mergeCell ref="B103:B107"/>
    <mergeCell ref="A103:A107"/>
    <mergeCell ref="A69:A74"/>
    <mergeCell ref="A46:A50"/>
    <mergeCell ref="E92:F92"/>
    <mergeCell ref="E93:F93"/>
    <mergeCell ref="E94:F94"/>
    <mergeCell ref="E96:F96"/>
    <mergeCell ref="E88:F88"/>
    <mergeCell ref="B113:B115"/>
    <mergeCell ref="E115:F115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AG20:AZ20"/>
    <mergeCell ref="AG21:AZ21"/>
    <mergeCell ref="AG22:AZ22"/>
    <mergeCell ref="AG26:AZ26"/>
    <mergeCell ref="B85:B92"/>
    <mergeCell ref="A85:A92"/>
    <mergeCell ref="B46:B47"/>
    <mergeCell ref="B35:B37"/>
    <mergeCell ref="E76:F76"/>
    <mergeCell ref="E87:F87"/>
    <mergeCell ref="AG9:AZ9"/>
    <mergeCell ref="AG10:AZ10"/>
    <mergeCell ref="AG11:AZ11"/>
    <mergeCell ref="AG12:AZ12"/>
    <mergeCell ref="AG30:AZ30"/>
    <mergeCell ref="AG31:AZ31"/>
    <mergeCell ref="AG14:AZ14"/>
    <mergeCell ref="AG15:AZ15"/>
    <mergeCell ref="AG17:AZ17"/>
    <mergeCell ref="AG18:AZ18"/>
    <mergeCell ref="A113:A115"/>
    <mergeCell ref="A108:A112"/>
    <mergeCell ref="D5:D6"/>
    <mergeCell ref="I5:I6"/>
    <mergeCell ref="G5:G6"/>
    <mergeCell ref="AA5:AC6"/>
    <mergeCell ref="B20:B25"/>
    <mergeCell ref="E10:F10"/>
    <mergeCell ref="B108:B111"/>
    <mergeCell ref="E114:F114"/>
    <mergeCell ref="E68:F68"/>
    <mergeCell ref="E74:F74"/>
    <mergeCell ref="E75:F75"/>
    <mergeCell ref="E44:F44"/>
    <mergeCell ref="E45:F45"/>
    <mergeCell ref="E47:F47"/>
    <mergeCell ref="E50:F50"/>
    <mergeCell ref="E51:F51"/>
    <mergeCell ref="E58:F58"/>
    <mergeCell ref="AG32:AZ32"/>
    <mergeCell ref="AG33:AZ33"/>
    <mergeCell ref="AG34:AZ34"/>
    <mergeCell ref="BA5:BA6"/>
    <mergeCell ref="A75:A84"/>
    <mergeCell ref="E20:F20"/>
    <mergeCell ref="E65:F65"/>
    <mergeCell ref="E62:F62"/>
    <mergeCell ref="E67:F67"/>
    <mergeCell ref="E69:F69"/>
  </mergeCells>
  <conditionalFormatting sqref="F9 F11:F19">
    <cfRule type="cellIs" priority="66" dxfId="139" operator="equal">
      <formula>0</formula>
    </cfRule>
  </conditionalFormatting>
  <conditionalFormatting sqref="F24">
    <cfRule type="cellIs" priority="56" dxfId="140" operator="equal">
      <formula>0</formula>
    </cfRule>
  </conditionalFormatting>
  <conditionalFormatting sqref="E27:F34 F38:F43">
    <cfRule type="cellIs" priority="55" dxfId="141" operator="equal">
      <formula>0</formula>
    </cfRule>
  </conditionalFormatting>
  <conditionalFormatting sqref="E38:F47">
    <cfRule type="cellIs" priority="52" dxfId="142" operator="equal">
      <formula>0</formula>
    </cfRule>
  </conditionalFormatting>
  <conditionalFormatting sqref="E48:F50">
    <cfRule type="cellIs" priority="51" dxfId="134" operator="equal">
      <formula>0</formula>
    </cfRule>
  </conditionalFormatting>
  <conditionalFormatting sqref="E51:F71">
    <cfRule type="cellIs" priority="50" dxfId="143" operator="equal">
      <formula>0</formula>
    </cfRule>
  </conditionalFormatting>
  <conditionalFormatting sqref="E75:F84">
    <cfRule type="cellIs" priority="49" dxfId="144" operator="equal">
      <formula>0</formula>
    </cfRule>
  </conditionalFormatting>
  <conditionalFormatting sqref="E85:F107">
    <cfRule type="cellIs" priority="48" dxfId="145" operator="equal">
      <formula>0</formula>
    </cfRule>
  </conditionalFormatting>
  <conditionalFormatting sqref="F121">
    <cfRule type="cellIs" priority="47" dxfId="138" operator="equal">
      <formula>0</formula>
    </cfRule>
  </conditionalFormatting>
  <conditionalFormatting sqref="E125:F131">
    <cfRule type="cellIs" priority="46" dxfId="146" operator="equal">
      <formula>0</formula>
    </cfRule>
  </conditionalFormatting>
  <conditionalFormatting sqref="F109:F110">
    <cfRule type="cellIs" priority="10" dxfId="147" operator="equal">
      <formula>0</formula>
    </cfRule>
  </conditionalFormatting>
  <conditionalFormatting sqref="BA7 BA9 BA11:BA19 BA24:BA30 BA34:BA43 BA46 BA48:BA49 BA55 BA57 BA60 BA72:BA73 BA78 BA85 BA97 BA108 BA121 BA125:BA129 BA131">
    <cfRule type="cellIs" priority="43" dxfId="148" operator="equal">
      <formula>"ERROR INPUT"</formula>
    </cfRule>
  </conditionalFormatting>
  <conditionalFormatting sqref="F46">
    <cfRule type="cellIs" priority="12" dxfId="149" operator="equal">
      <formula>0</formula>
    </cfRule>
    <cfRule type="cellIs" priority="16" dxfId="141" operator="equal">
      <formula>0</formula>
    </cfRule>
  </conditionalFormatting>
  <conditionalFormatting sqref="F48:F49">
    <cfRule type="cellIs" priority="11" dxfId="150" operator="equal">
      <formula>0</formula>
    </cfRule>
    <cfRule type="cellIs" priority="15" dxfId="141" operator="equal">
      <formula>0</formula>
    </cfRule>
  </conditionalFormatting>
  <conditionalFormatting sqref="F38:F43">
    <cfRule type="cellIs" priority="14" dxfId="149" operator="equal">
      <formula>0</formula>
    </cfRule>
  </conditionalFormatting>
  <conditionalFormatting sqref="AE7:AE137">
    <cfRule type="cellIs" priority="8" dxfId="151" operator="equal">
      <formula>"Physically Verified"</formula>
    </cfRule>
    <cfRule type="cellIs" priority="9" dxfId="126" operator="equal">
      <formula>"NOT VERIFIED"</formula>
    </cfRule>
  </conditionalFormatting>
  <conditionalFormatting sqref="AE8:AE137">
    <cfRule type="cellIs" priority="6" dxfId="151" operator="equal">
      <formula>"Physically Checked"</formula>
    </cfRule>
    <cfRule type="cellIs" priority="7" dxfId="126" operator="equal">
      <formula>"NOT VERIFIED"</formula>
    </cfRule>
  </conditionalFormatting>
  <conditionalFormatting sqref="AD7:AD137">
    <cfRule type="cellIs" priority="3" dxfId="152" operator="equal">
      <formula>"YES"</formula>
    </cfRule>
  </conditionalFormatting>
  <conditionalFormatting sqref="AE7:AE137">
    <cfRule type="cellIs" priority="2" dxfId="153" operator="equal">
      <formula>"Document Verified"</formula>
    </cfRule>
  </conditionalFormatting>
  <dataValidations count="92">
    <dataValidation allowBlank="1" showInputMessage="1" showErrorMessage="1" prompt="Actually Admitted Student Number including SFS" sqref="E7 F81 F79"/>
    <dataValidation allowBlank="1" showInputMessage="1" showErrorMessage="1" prompt="Total Strength of Students including SFS" sqref="F7 E31:E32 E57 E52 F54 F129 F121 F85 F125:F127 F97 F24"/>
    <dataValidation allowBlank="1" showInputMessage="1" showErrorMessage="1" prompt="Total Strength of Students in UG-1 and PG-P including SFS" sqref="F8"/>
    <dataValidation allowBlank="1" showInputMessage="1" showErrorMessage="1" prompt="Total number of STUDENT FURNITURE available in the college" sqref="E54"/>
    <dataValidation allowBlank="1" showInputMessage="1" showErrorMessage="1" prompt="Actual Student Strength including SFS" sqref="F9 F11:F19"/>
    <dataValidation allowBlank="1" showInputMessage="1" showErrorMessage="1" prompt="Girls Students number" sqref="E9"/>
    <dataValidation allowBlank="1" showInputMessage="1" showErrorMessage="1" prompt="No of OBC Students" sqref="E13"/>
    <dataValidation allowBlank="1" showInputMessage="1" showErrorMessage="1" prompt="No of SC Students" sqref="E11"/>
    <dataValidation allowBlank="1" showInputMessage="1" showErrorMessage="1" prompt="No of ST Students" sqref="E12"/>
    <dataValidation allowBlank="1" showInputMessage="1" showErrorMessage="1" prompt="No of MBC Students" sqref="E14"/>
    <dataValidation allowBlank="1" showInputMessage="1" showErrorMessage="1" prompt="No of EWS Students" sqref="E15"/>
    <dataValidation allowBlank="1" showInputMessage="1" showErrorMessage="1" prompt="No of MINORITIES Students" sqref="E16"/>
    <dataValidation type="list" allowBlank="1" showInputMessage="1" showErrorMessage="1" prompt="Whether Girls College ? Yes or No ?" sqref="G58:G59 G120 G96 G92:G94 G74:G77 G82 G86:G87 G71 G69 G63:G67 G98:G107 G51 G10 G122:G123">
      <formula1>"YES,NO"</formula1>
    </dataValidation>
    <dataValidation type="list" allowBlank="1" showInputMessage="1" showErrorMessage="1" prompt="Whether Girls College ? Yes or No ?" sqref="G124">
      <formula1>"NO PENDENCY,PENDENCY"</formula1>
    </dataValidation>
    <dataValidation type="whole" allowBlank="1" showInputMessage="1" showErrorMessage="1" sqref="E20:E23 E114:E116 E132:E137 G88:G91 G47 G50 G62 G83 E68 G80 G20:G23 G44:G45 E47 E50 E62 G68 E83 E80 E88:E91 G95 E95 G132:G137 E130 E119 G130 E44:E45 G111:G119 G142">
      <formula1>0</formula1>
      <formula2>500</formula2>
    </dataValidation>
    <dataValidation allowBlank="1" showInputMessage="1" showErrorMessage="1" prompt="No of students from OTHER DISTRICTS" sqref="E17"/>
    <dataValidation allowBlank="1" showInputMessage="1" showErrorMessage="1" prompt="No of students with SPECIAL ABILITIES" sqref="E19"/>
    <dataValidation allowBlank="1" showInputMessage="1" showErrorMessage="1" prompt="No of BPL Students" sqref="E18"/>
    <dataValidation allowBlank="1" showInputMessage="1" showErrorMessage="1" prompt="students in VOCATIONAL COURSES" sqref="E24"/>
    <dataValidation allowBlank="1" showInputMessage="1" showErrorMessage="1" prompt="students in SKILL DEVELOPMENT courses" sqref="E25"/>
    <dataValidation allowBlank="1" showInputMessage="1" showErrorMessage="1" prompt="Lecturers all (SFS+REGULAR+GUEST FACULTY+ADHOC+WORK ARRANGEMENT)" sqref="E26 F32 E61"/>
    <dataValidation allowBlank="1" showInputMessage="1" showErrorMessage="1" prompt="Lecturers  only REGULAR APPOINTMENT" sqref="E27 F48:F49 F46 F38:F43 F34 F28:F30"/>
    <dataValidation allowBlank="1" showInputMessage="1" showErrorMessage="1" prompt="Total Teaching Content-wise" sqref="F33"/>
    <dataValidation allowBlank="1" showInputMessage="1" showErrorMessage="1" prompt="Content wise teached completed." sqref="E33"/>
    <dataValidation allowBlank="1" showInputMessage="1" showErrorMessage="1" prompt="Number of LECTURERS who contributed E-content and being used in more than one institution." sqref="E34"/>
    <dataValidation type="whole" allowBlank="1" showInputMessage="1" showErrorMessage="1" prompt="Audit by State Audit team, MVS fund Audit, RUSA Grant Audit, UGC Grant Audit" sqref="E111:F111">
      <formula1>0</formula1>
      <formula2>100000000</formula2>
    </dataValidation>
    <dataValidation allowBlank="1" showInputMessage="1" showErrorMessage="1" prompt="Average Number of students appeared for Monthly Test" sqref="E131"/>
    <dataValidation allowBlank="1" showInputMessage="1" showErrorMessage="1" prompt="Number of students Appeare in State Level GK Competition" sqref="E129"/>
    <dataValidation allowBlank="1" showInputMessage="1" showErrorMessage="1" prompt="Number of Classes Organised Under Pratiyogita Dakshta Programme" sqref="E128"/>
    <dataValidation allowBlank="1" showInputMessage="1" showErrorMessage="1" prompt="Number of Days" sqref="F128"/>
    <dataValidation allowBlank="1" showInputMessage="1" showErrorMessage="1" prompt="Number of Students who received English Grammer Books." sqref="E127"/>
    <dataValidation allowBlank="1" showInputMessage="1" showErrorMessage="1" prompt="Number of Students who received GK Books." sqref="E126"/>
    <dataValidation allowBlank="1" showInputMessage="1" showErrorMessage="1" prompt="Number of Students placed throught Employment Fairs." sqref="E125"/>
    <dataValidation allowBlank="1" showInputMessage="1" showErrorMessage="1" prompt="Number of students participated in Inter House Sport Activities." sqref="E121"/>
    <dataValidation allowBlank="1" showInputMessage="1" showErrorMessage="1" prompt="Total Grants Utilised (UGC, RUSA etc)." sqref="E108"/>
    <dataValidation allowBlank="1" showInputMessage="1" showErrorMessage="1" prompt="Number of Students utilising IT/ICT Lab Faciliteis." sqref="E97"/>
    <dataValidation allowBlank="1" showInputMessage="1" showErrorMessage="1" prompt="Number of Students guided through Counselling Cell" sqref="E85"/>
    <dataValidation allowBlank="1" showInputMessage="1" showErrorMessage="1" prompt="Number of Subject Journals Subscribed (TOTAL)" sqref="E84"/>
    <dataValidation allowBlank="1" showInputMessage="1" showErrorMessage="1" prompt="Number of Subjects (TOTAL)" sqref="F84 F60"/>
    <dataValidation allowBlank="1" showInputMessage="1" showErrorMessage="1" prompt="Number of Books in Library (TOTAL)" sqref="E79"/>
    <dataValidation allowBlank="1" showInputMessage="1" showErrorMessage="1" prompt="Library staff Sanctioned Posts (TOTAL)." sqref="F78"/>
    <dataValidation allowBlank="1" showInputMessage="1" showErrorMessage="1" prompt="Number of Library Staff working at present." sqref="E78"/>
    <dataValidation allowBlank="1" showInputMessage="1" showErrorMessage="1" prompt="Total Sanctions Posts of Suporting Staff including SFS." sqref="F73"/>
    <dataValidation allowBlank="1" showInputMessage="1" showErrorMessage="1" prompt="Total Sanctions Posts of Ministerial Staff including SFS." sqref="F72"/>
    <dataValidation allowBlank="1" showInputMessage="1" showErrorMessage="1" prompt="Number of Suporting Staff working at present including SFS." sqref="E73"/>
    <dataValidation allowBlank="1" showInputMessage="1" showErrorMessage="1" prompt="Number of Ministrial Staff working at present including SFS." sqref="E72"/>
    <dataValidation allowBlank="1" showInputMessage="1" showErrorMessage="1" prompt="Total Electricity Requirement of the College (KW)" sqref="F70"/>
    <dataValidation allowBlank="1" showInputMessage="1" showErrorMessage="1" prompt="Total Electricity Generated through Generator/Inverter/Solar panel in the College (KW)" sqref="E70"/>
    <dataValidation allowBlank="1" showInputMessage="1" showErrorMessage="1" prompt="Total Number of toils available for faculty members" sqref="F61"/>
    <dataValidation allowBlank="1" showInputMessage="1" showErrorMessage="1" prompt="Number of Department Rooms" sqref="E60"/>
    <dataValidation allowBlank="1" showInputMessage="1" showErrorMessage="1" prompt="Total Strength of BOYS Students including SFS" sqref="E56"/>
    <dataValidation allowBlank="1" showInputMessage="1" showErrorMessage="1" prompt="Total Number of Class Rooms + Labs" sqref="F55"/>
    <dataValidation allowBlank="1" showInputMessage="1" showErrorMessage="1" prompt="Number of Class Rooms and Labs with fans and lights" sqref="E55"/>
    <dataValidation allowBlank="1" showInputMessage="1" showErrorMessage="1" prompt="Total Number of  CLASS ROOMS" sqref="F52"/>
    <dataValidation allowBlank="1" showInputMessage="1" showErrorMessage="1" prompt="Total Number of  LABS" sqref="F53"/>
    <dataValidation allowBlank="1" showInputMessage="1" showErrorMessage="1" prompt="Total Strength of Students having PRACTICAL SUBJECTS" sqref="E53"/>
    <dataValidation allowBlank="1" showInputMessage="1" showErrorMessage="1" prompt="Number of Lecturers who ATTENDED EVENTS OUTSIDE INDIA." sqref="E49"/>
    <dataValidation allowBlank="1" showInputMessage="1" showErrorMessage="1" prompt="Number of Lecturers associated with ACADEMIC ASSOCIATION." sqref="E48"/>
    <dataValidation allowBlank="1" showInputMessage="1" showErrorMessage="1" prompt="Number of LECTURERS with PH.D." sqref="E28"/>
    <dataValidation allowBlank="1" showInputMessage="1" showErrorMessage="1" prompt="Number of Regular Students who PASSED Last Year" sqref="E35"/>
    <dataValidation allowBlank="1" showInputMessage="1" showErrorMessage="1" prompt="Number of Regular Students who GOT 60% AND MORE LAST YEAR." sqref="E36"/>
    <dataValidation allowBlank="1" showInputMessage="1" showErrorMessage="1" prompt="Number of Lecturers having 5 and more research papers published during last 3 years." sqref="E38"/>
    <dataValidation allowBlank="1" showInputMessage="1" showErrorMessage="1" prompt="Number of Lecturers who authored/co-authored at least one book." sqref="E39"/>
    <dataValidation allowBlank="1" showInputMessage="1" showErrorMessage="1" prompt="Number of Lecturers who are recognised as research supervisor." sqref="E40"/>
    <dataValidation allowBlank="1" showInputMessage="1" showErrorMessage="1" prompt="Number of Lecturers under whom  scholar is awarded Ph.D." sqref="E41"/>
    <dataValidation allowBlank="1" showInputMessage="1" showErrorMessage="1" prompt="Number of Lecturers presented 2 and more research papers in international seminars during last 3 years." sqref="E42"/>
    <dataValidation allowBlank="1" showInputMessage="1" showErrorMessage="1" prompt="Number of Lecturers presented 3 and more research papers in national seminars during last 3 years." sqref="E43"/>
    <dataValidation allowBlank="1" showInputMessage="1" showErrorMessage="1" prompt="Number of Lecturers who are awarded Research Projects from UGC, ICSSR and OTHER RESEARCH FUNDING AGENCY." sqref="E46"/>
    <dataValidation type="list" allowBlank="1" showInputMessage="1" showErrorMessage="1" sqref="AD20 AD7:AD11 AD38:AD137 AD23:AD35">
      <formula1>"YES,NO"</formula1>
    </dataValidation>
    <dataValidation allowBlank="1" showInputMessage="1" showErrorMessage="1" prompt="Total Expenditure in Books, Labs, Furniture, Equipments, IT, Sports articles etc BUT NOT in BUILDING during year ending on last 31st March." sqref="E109"/>
    <dataValidation allowBlank="1" showInputMessage="1" showErrorMessage="1" prompt="Total Expenditure like office expenses,  electricity, water etc but not Salary during year ending on last 31st March." sqref="E110"/>
    <dataValidation type="whole" allowBlank="1" showInputMessage="1" showErrorMessage="1" sqref="E118:F118">
      <formula1>0</formula1>
      <formula2>100000</formula2>
    </dataValidation>
    <dataValidation allowBlank="1" showInputMessage="1" showErrorMessage="1" prompt="LECTURER SANCTIONED POSTS" sqref="F26:F27 F31"/>
    <dataValidation allowBlank="1" showInputMessage="1" showErrorMessage="1" prompt="Number of LECTURERS with M.Phil. but not PH.D." sqref="E29"/>
    <dataValidation allowBlank="1" showInputMessage="1" showErrorMessage="1" prompt="Number of LECTURERS awarded PDF OR D.LIT." sqref="E30"/>
    <dataValidation allowBlank="1" showInputMessage="1" showErrorMessage="1" prompt="Total Toilets for Male Students" sqref="F56"/>
    <dataValidation allowBlank="1" showInputMessage="1" showErrorMessage="1" prompt="Total Toilets for Female Students" sqref="F57"/>
    <dataValidation type="list" allowBlank="1" showInputMessage="1" showErrorMessage="1" prompt="YES or NO" sqref="E10:F10 E123:F123 E98:F107 E96:F96 E92:F94 E86:F87 E82:F82 E74:F77 E71:F71 E69:F69 E63:F67 E58:F59 E51:F51">
      <formula1>"YES,NO"</formula1>
    </dataValidation>
    <dataValidation type="list" allowBlank="1" showInputMessage="1" showErrorMessage="1" prompt="NO Pendency, YES Pendency" sqref="E124:F124">
      <formula1>"No Pendency, Yes Pendency"</formula1>
    </dataValidation>
    <dataValidation allowBlank="1" showInputMessage="1" showErrorMessage="1" prompt="Average  No. of Copies of News Paper Subscribed per month" sqref="E81"/>
    <dataValidation allowBlank="1" showInputMessage="1" showErrorMessage="1" prompt="Total Applications received for admission in UG-1 and PG-P including SFS" sqref="E8"/>
    <dataValidation allowBlank="1" showInputMessage="1" showErrorMessage="1" prompt="Total Number of Admitted Students in UG-3, UG-2, PG-F, PG-P who are eligible for RSLDC courses." sqref="F25"/>
    <dataValidation allowBlank="1" showInputMessage="1" showErrorMessage="1" prompt="Total Strength of Students of UG including SFS papers." sqref="F131"/>
    <dataValidation type="list" allowBlank="1" showInputMessage="1" showErrorMessage="1" sqref="AE7:AE137">
      <formula1>"Physically Verified,Document Verified,NOT VERIFIED"</formula1>
    </dataValidation>
    <dataValidation allowBlank="1" showInputMessage="1" showErrorMessage="1" prompt="Total Grants Sanctioned (UGC, RUSA etc)." sqref="F108"/>
    <dataValidation type="whole" allowBlank="1" showInputMessage="1" showErrorMessage="1" prompt="From Bhamashah, MLS, MP in Cash / Bank / Product / Service / Infrastructre ertc" sqref="E112:F112">
      <formula1>0</formula1>
      <formula2>100000000</formula2>
    </dataValidation>
    <dataValidation type="whole" allowBlank="1" showInputMessage="1" showErrorMessage="1" prompt="Inludes Plantation, Use of electric vehicle, NO-Vehicle initiative, Water harvesting, solar power, No Plastic Use etc activites" sqref="E113:F113">
      <formula1>0</formula1>
      <formula2>100000000</formula2>
    </dataValidation>
    <dataValidation type="whole" allowBlank="1" showInputMessage="1" showErrorMessage="1" prompt="Includes partiicipation in Orientation, Refresher Course, Faculty Development Programe and Organising FDP during current session" sqref="E117:F117">
      <formula1>0</formula1>
      <formula2>100000000</formula2>
    </dataValidation>
    <dataValidation type="list" allowBlank="1" showInputMessage="1" showErrorMessage="1" prompt="Includes activites which are student centric, related to institutional / faculty development or has some social relevance.  (NOT TO INCLUDE activites covered under NSS, Rangering, YDC and regular programe)" sqref="E120:F120">
      <formula1>"Yes, No"</formula1>
    </dataValidation>
    <dataValidation type="list" allowBlank="1" showInputMessage="1" showErrorMessage="1" prompt="Includes offline / online transperent with anonymity of student feedback system. Action taken report on Feed back suggestion." sqref="E122:F122">
      <formula1>"YES,NO"</formula1>
    </dataValidation>
    <dataValidation allowBlank="1" showInputMessage="1" showErrorMessage="1" prompt="Total Regular Students who APPEARED in EXAM LAST YEAR" sqref="F35:F37"/>
    <dataValidation allowBlank="1" showInputMessage="1" showErrorMessage="1" prompt="Number of Regular Students who GOT 75% AND MORE LAST YEAR." sqref="E37"/>
  </dataValidations>
  <printOptions horizontalCentered="1"/>
  <pageMargins left="0.196850393700787" right="0.196850393700787" top="0.236220472440945" bottom="0.511811023622047" header="0.31496062992126" footer="0.31496062992126"/>
  <pageSetup blackAndWhite="1" horizontalDpi="600" verticalDpi="600" orientation="landscape" paperSize="9" r:id="rId1"/>
  <headerFooter>
    <oddFooter>&amp;CPage No.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I27"/>
  <sheetViews>
    <sheetView zoomScale="70" zoomScaleNormal="7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8.75"/>
  <cols>
    <col min="1" max="1" width="13.4453125" style="226" customWidth="1"/>
    <col min="2" max="2" width="65.77734375" style="0" customWidth="1"/>
    <col min="3" max="3" width="16.5546875" style="0" customWidth="1"/>
    <col min="4" max="4" width="14.21484375" style="0" customWidth="1"/>
    <col min="5" max="5" width="14.77734375" style="0" customWidth="1"/>
    <col min="6" max="6" width="2.77734375" style="0" customWidth="1"/>
  </cols>
  <sheetData>
    <row r="1" spans="1:9" s="225" customFormat="1" ht="78.75" customHeight="1">
      <c r="A1" s="1131" t="str">
        <f>+Result!B1</f>
        <v>SETH R.L.SAHARIA GOVT. P.G. COLLEGE KALADERA KALADERA (JAIPUR)</v>
      </c>
      <c r="B1" s="1131"/>
      <c r="C1" s="1131"/>
      <c r="D1" s="1131"/>
      <c r="E1" s="1132"/>
      <c r="F1" s="345"/>
      <c r="G1" s="345"/>
      <c r="I1" s="263"/>
    </row>
    <row r="2" spans="1:9" ht="31.5" customHeight="1">
      <c r="A2" s="989" t="s">
        <v>163</v>
      </c>
      <c r="B2" s="989"/>
      <c r="C2" s="989"/>
      <c r="D2" s="989"/>
      <c r="E2" s="1133"/>
      <c r="F2" s="346"/>
      <c r="G2" s="346"/>
      <c r="I2" s="263"/>
    </row>
    <row r="3" spans="1:9" ht="34.5" customHeight="1" thickBot="1">
      <c r="A3" s="1136" t="str">
        <f>+Result!B3</f>
        <v>Session : 2019-20</v>
      </c>
      <c r="B3" s="1136"/>
      <c r="C3" s="1136"/>
      <c r="D3" s="1136"/>
      <c r="E3" s="1136"/>
      <c r="F3" s="347"/>
      <c r="G3" s="347"/>
      <c r="I3" s="263"/>
    </row>
    <row r="4" spans="1:9" ht="105.75" thickBot="1">
      <c r="A4" s="261" t="s">
        <v>0</v>
      </c>
      <c r="B4" s="260" t="s">
        <v>173</v>
      </c>
      <c r="C4" s="232" t="s">
        <v>184</v>
      </c>
      <c r="D4" s="179" t="s">
        <v>162</v>
      </c>
      <c r="E4" s="179" t="s">
        <v>186</v>
      </c>
      <c r="G4" s="198" t="s">
        <v>189</v>
      </c>
      <c r="I4" s="263"/>
    </row>
    <row r="5" spans="1:9" ht="30.75" customHeight="1" thickBot="1">
      <c r="A5" s="1137" t="s">
        <v>185</v>
      </c>
      <c r="B5" s="233" t="s">
        <v>7</v>
      </c>
      <c r="C5" s="185">
        <f>IF(D5=0,"",Input!BJ8)</f>
        <v>22</v>
      </c>
      <c r="D5" s="222">
        <f>Input!BK8</f>
        <v>16.5</v>
      </c>
      <c r="E5" s="180">
        <f aca="true" t="shared" si="0" ref="E5:E21">IF(D5=0,"",ROUND(D5/C5*100,2))</f>
        <v>75</v>
      </c>
      <c r="I5" s="263"/>
    </row>
    <row r="6" spans="1:9" ht="30.75" customHeight="1" thickBot="1">
      <c r="A6" s="1137"/>
      <c r="B6" s="227" t="s">
        <v>8</v>
      </c>
      <c r="C6" s="185">
        <f>IF(D6=0,"",Input!BJ19)</f>
        <v>36</v>
      </c>
      <c r="D6" s="185">
        <f>Input!BK19</f>
        <v>15</v>
      </c>
      <c r="E6" s="180">
        <f t="shared" si="0"/>
        <v>41.67</v>
      </c>
      <c r="I6" s="263"/>
    </row>
    <row r="7" spans="1:9" ht="30.75" customHeight="1" thickBot="1">
      <c r="A7" s="1137"/>
      <c r="B7" s="227" t="s">
        <v>9</v>
      </c>
      <c r="C7" s="185">
        <f>IF(D7=0,"",Input!BJ25)</f>
        <v>22</v>
      </c>
      <c r="D7" s="185">
        <f>Input!BK25</f>
        <v>11.5</v>
      </c>
      <c r="E7" s="180">
        <f t="shared" si="0"/>
        <v>52.27</v>
      </c>
      <c r="I7" s="263"/>
    </row>
    <row r="8" spans="1:9" ht="30.75" customHeight="1" thickBot="1">
      <c r="A8" s="1137"/>
      <c r="B8" s="227" t="s">
        <v>10</v>
      </c>
      <c r="C8" s="185">
        <f>IF(D8=0,"",Input!BJ34)</f>
        <v>36</v>
      </c>
      <c r="D8" s="185">
        <f>Input!BK34</f>
        <v>23.5</v>
      </c>
      <c r="E8" s="180">
        <f t="shared" si="0"/>
        <v>65.28</v>
      </c>
      <c r="I8" s="263"/>
    </row>
    <row r="9" spans="1:9" ht="30.75" customHeight="1" thickBot="1">
      <c r="A9" s="1137"/>
      <c r="B9" s="227" t="s">
        <v>11</v>
      </c>
      <c r="C9" s="185">
        <f>IF(D9=0,"",Input!BJ37)</f>
        <v>24</v>
      </c>
      <c r="D9" s="185">
        <f>Input!BK37</f>
        <v>12</v>
      </c>
      <c r="E9" s="180">
        <f t="shared" si="0"/>
        <v>50</v>
      </c>
      <c r="I9" s="263"/>
    </row>
    <row r="10" spans="1:9" ht="30.75" customHeight="1" thickBot="1">
      <c r="A10" s="1138" t="s">
        <v>12</v>
      </c>
      <c r="B10" s="228" t="s">
        <v>13</v>
      </c>
      <c r="C10" s="183">
        <f>IF(D10=0,"",Input!BJ47)</f>
        <v>48</v>
      </c>
      <c r="D10" s="223">
        <f>Input!BK47</f>
        <v>24.5</v>
      </c>
      <c r="E10" s="180">
        <f t="shared" si="0"/>
        <v>51.04</v>
      </c>
      <c r="I10" s="263"/>
    </row>
    <row r="11" spans="1:9" ht="30.75" customHeight="1" thickBot="1">
      <c r="A11" s="1138"/>
      <c r="B11" s="228" t="s">
        <v>14</v>
      </c>
      <c r="C11" s="183">
        <f>IF(D11=0,"",Input!BJ50)</f>
        <v>12</v>
      </c>
      <c r="D11" s="223">
        <f>Input!BK50</f>
        <v>3</v>
      </c>
      <c r="E11" s="180">
        <f t="shared" si="0"/>
        <v>25</v>
      </c>
      <c r="I11" s="263"/>
    </row>
    <row r="12" spans="1:9" ht="30.75" customHeight="1" thickBot="1">
      <c r="A12" s="1139" t="s">
        <v>15</v>
      </c>
      <c r="B12" s="229" t="s">
        <v>16</v>
      </c>
      <c r="C12" s="191">
        <f>IF(D12=0,"",Input!BJ71)</f>
        <v>50</v>
      </c>
      <c r="D12" s="224">
        <f>Input!BK71</f>
        <v>42</v>
      </c>
      <c r="E12" s="180">
        <f t="shared" si="0"/>
        <v>84</v>
      </c>
      <c r="G12" s="259" t="s">
        <v>167</v>
      </c>
      <c r="I12" s="263"/>
    </row>
    <row r="13" spans="1:9" ht="30.75" customHeight="1" thickBot="1">
      <c r="A13" s="1139"/>
      <c r="B13" s="229" t="s">
        <v>17</v>
      </c>
      <c r="C13" s="191">
        <f>IF(D13=0,"",Input!BJ74)</f>
        <v>10</v>
      </c>
      <c r="D13" s="224">
        <f>Input!BK74</f>
        <v>8</v>
      </c>
      <c r="E13" s="180">
        <f t="shared" si="0"/>
        <v>80</v>
      </c>
      <c r="I13" s="263"/>
    </row>
    <row r="14" spans="1:9" ht="30.75" customHeight="1" thickBot="1">
      <c r="A14" s="1140" t="s">
        <v>18</v>
      </c>
      <c r="B14" s="230" t="s">
        <v>19</v>
      </c>
      <c r="C14" s="193">
        <f>IF(D14=0,"",Input!BJ84)</f>
        <v>14</v>
      </c>
      <c r="D14" s="193">
        <f>Input!BK84</f>
        <v>10</v>
      </c>
      <c r="E14" s="180">
        <f t="shared" si="0"/>
        <v>71.43</v>
      </c>
      <c r="G14" s="259" t="s">
        <v>168</v>
      </c>
      <c r="I14" s="263"/>
    </row>
    <row r="15" spans="1:9" ht="30.75" customHeight="1" thickBot="1">
      <c r="A15" s="1140"/>
      <c r="B15" s="230" t="s">
        <v>20</v>
      </c>
      <c r="C15" s="193">
        <f>IF(D15=0,"",Input!BJ107)</f>
        <v>26</v>
      </c>
      <c r="D15" s="193">
        <f>Input!BK107</f>
        <v>24</v>
      </c>
      <c r="E15" s="180">
        <f t="shared" si="0"/>
        <v>92.31</v>
      </c>
      <c r="I15" s="263"/>
    </row>
    <row r="16" spans="1:9" s="221" customFormat="1" ht="30.75" customHeight="1" thickBot="1">
      <c r="A16" s="1134" t="s">
        <v>21</v>
      </c>
      <c r="B16" s="373" t="s">
        <v>22</v>
      </c>
      <c r="C16" s="374">
        <f>IF(D16=0,"",Input!BJ111)</f>
        <v>32</v>
      </c>
      <c r="D16" s="374">
        <f>Input!BK111</f>
        <v>26</v>
      </c>
      <c r="E16" s="180">
        <f t="shared" si="0"/>
        <v>81.25</v>
      </c>
      <c r="I16" s="264"/>
    </row>
    <row r="17" spans="1:9" s="221" customFormat="1" ht="30.75" customHeight="1" thickBot="1">
      <c r="A17" s="1134"/>
      <c r="B17" s="373" t="s">
        <v>23</v>
      </c>
      <c r="C17" s="374">
        <f>IF(D17=0,"",Input!BJ112)</f>
      </c>
      <c r="D17" s="374">
        <f>Input!BK112</f>
        <v>0</v>
      </c>
      <c r="E17" s="180">
        <f t="shared" si="0"/>
      </c>
      <c r="I17" s="264"/>
    </row>
    <row r="18" spans="1:9" ht="30.75" customHeight="1" thickBot="1">
      <c r="A18" s="1135" t="s">
        <v>24</v>
      </c>
      <c r="B18" s="231" t="s">
        <v>25</v>
      </c>
      <c r="C18" s="195">
        <f>IF(D18=0,"",Input!BJ115)</f>
        <v>6</v>
      </c>
      <c r="D18" s="195">
        <f>Input!BK115</f>
        <v>4</v>
      </c>
      <c r="E18" s="180">
        <f t="shared" si="0"/>
        <v>66.67</v>
      </c>
      <c r="I18" s="263"/>
    </row>
    <row r="19" spans="1:9" ht="30.75" customHeight="1" thickBot="1">
      <c r="A19" s="1135"/>
      <c r="B19" s="231" t="s">
        <v>26</v>
      </c>
      <c r="C19" s="195">
        <f>IF(D19=0,"",Input!BJ123)</f>
        <v>18</v>
      </c>
      <c r="D19" s="195">
        <f>Input!BK123</f>
        <v>7.5</v>
      </c>
      <c r="E19" s="180">
        <f t="shared" si="0"/>
        <v>41.67</v>
      </c>
      <c r="I19" s="263"/>
    </row>
    <row r="20" spans="1:9" ht="30.75" customHeight="1" thickBot="1">
      <c r="A20" s="1135"/>
      <c r="B20" s="231" t="s">
        <v>27</v>
      </c>
      <c r="C20" s="195">
        <f>IF(D20=0,"",Input!BJ131)</f>
        <v>24</v>
      </c>
      <c r="D20" s="195">
        <f>Input!BK131</f>
        <v>14.5</v>
      </c>
      <c r="E20" s="180">
        <f t="shared" si="0"/>
        <v>60.42</v>
      </c>
      <c r="I20" s="263"/>
    </row>
    <row r="21" spans="1:9" ht="30.75" customHeight="1" thickBot="1">
      <c r="A21" s="1135"/>
      <c r="B21" s="231" t="s">
        <v>28</v>
      </c>
      <c r="C21" s="195">
        <f>IF(D21=0,"",Input!BJ137)</f>
        <v>12</v>
      </c>
      <c r="D21" s="195">
        <f>Input!BK137</f>
        <v>4</v>
      </c>
      <c r="E21" s="180">
        <f t="shared" si="0"/>
        <v>33.33</v>
      </c>
      <c r="I21" s="263"/>
    </row>
    <row r="22" spans="2:9" ht="31.5" hidden="1" thickBot="1">
      <c r="B22" s="186" t="s">
        <v>158</v>
      </c>
      <c r="C22" s="187">
        <f>IF(SUM(C5:C21)=0,"",SUM(C5:C21))</f>
        <v>392</v>
      </c>
      <c r="D22" s="187">
        <f>IF(SUM(D5:D21)=0,"",SUM(D5:D21))</f>
        <v>246</v>
      </c>
      <c r="E22" s="181"/>
      <c r="I22" s="263"/>
    </row>
    <row r="23" spans="2:9" ht="38.25" hidden="1" thickBot="1">
      <c r="B23" s="188" t="s">
        <v>159</v>
      </c>
      <c r="C23" s="189">
        <f>IF(C22="","",ROUND(C22/4,2))</f>
        <v>98</v>
      </c>
      <c r="D23" s="189">
        <f>IF(D22="","",ROUND(D22/4,4))</f>
        <v>61.5</v>
      </c>
      <c r="E23" s="181"/>
      <c r="I23" s="263"/>
    </row>
    <row r="24" ht="18.75">
      <c r="I24" s="263"/>
    </row>
    <row r="25" spans="1:9" ht="18.75">
      <c r="A25" s="262"/>
      <c r="B25" s="263"/>
      <c r="C25" s="263"/>
      <c r="D25" s="263"/>
      <c r="E25" s="263"/>
      <c r="F25" s="263"/>
      <c r="G25" s="263"/>
      <c r="H25" s="263"/>
      <c r="I25" s="263"/>
    </row>
    <row r="26" spans="1:9" ht="18.75">
      <c r="A26" s="262"/>
      <c r="B26" s="263"/>
      <c r="C26" s="263"/>
      <c r="D26" s="263"/>
      <c r="E26" s="263"/>
      <c r="F26" s="263"/>
      <c r="G26" s="263"/>
      <c r="H26" s="263"/>
      <c r="I26" s="263"/>
    </row>
    <row r="27" spans="1:9" ht="18.75">
      <c r="A27" s="262"/>
      <c r="B27" s="263"/>
      <c r="C27" s="263"/>
      <c r="D27" s="263"/>
      <c r="E27" s="263"/>
      <c r="F27" s="263"/>
      <c r="G27" s="263"/>
      <c r="H27" s="263"/>
      <c r="I27" s="263"/>
    </row>
  </sheetData>
  <sheetProtection password="EAF4" sheet="1" objects="1" scenarios="1" selectLockedCells="1"/>
  <mergeCells count="9">
    <mergeCell ref="A1:E1"/>
    <mergeCell ref="A2:E2"/>
    <mergeCell ref="A16:A17"/>
    <mergeCell ref="A18:A21"/>
    <mergeCell ref="A3:E3"/>
    <mergeCell ref="A5:A9"/>
    <mergeCell ref="A10:A11"/>
    <mergeCell ref="A12:A13"/>
    <mergeCell ref="A14:A15"/>
  </mergeCells>
  <conditionalFormatting sqref="E5:E21">
    <cfRule type="cellIs" priority="7" dxfId="28" operator="lessThan">
      <formula>50.001</formula>
    </cfRule>
    <cfRule type="cellIs" priority="8" dxfId="41" operator="greaterThan">
      <formula>50</formula>
    </cfRule>
  </conditionalFormatting>
  <conditionalFormatting sqref="D5:D9">
    <cfRule type="cellIs" priority="6" dxfId="133" operator="equal">
      <formula>0</formula>
    </cfRule>
  </conditionalFormatting>
  <conditionalFormatting sqref="D10:D11">
    <cfRule type="cellIs" priority="5" dxfId="134" operator="equal">
      <formula>0</formula>
    </cfRule>
  </conditionalFormatting>
  <conditionalFormatting sqref="D12:D13">
    <cfRule type="cellIs" priority="4" dxfId="135" operator="equal">
      <formula>0</formula>
    </cfRule>
  </conditionalFormatting>
  <conditionalFormatting sqref="D14:D15">
    <cfRule type="cellIs" priority="3" dxfId="136" operator="equal">
      <formula>0</formula>
    </cfRule>
  </conditionalFormatting>
  <conditionalFormatting sqref="D16:D17">
    <cfRule type="cellIs" priority="2" dxfId="137" operator="equal">
      <formula>0</formula>
    </cfRule>
  </conditionalFormatting>
  <conditionalFormatting sqref="D18:D21">
    <cfRule type="cellIs" priority="1" dxfId="138" operator="equal">
      <formula>0</formula>
    </cfRule>
  </conditionalFormatting>
  <printOptions horizontalCentered="1"/>
  <pageMargins left="0.1968503937007874" right="0.1968503937007874" top="0.2362204724409449" bottom="0.2362204724409449" header="0.31496062992125984" footer="0.31496062992125984"/>
  <pageSetup fitToHeight="1" fitToWidth="1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O18"/>
  <sheetViews>
    <sheetView zoomScalePageLayoutView="0" workbookViewId="0" topLeftCell="B4">
      <selection activeCell="G4" sqref="G4"/>
    </sheetView>
  </sheetViews>
  <sheetFormatPr defaultColWidth="8.88671875" defaultRowHeight="18.75"/>
  <cols>
    <col min="2" max="2" width="57.5546875" style="0" customWidth="1"/>
    <col min="3" max="3" width="16.5546875" style="0" customWidth="1"/>
    <col min="4" max="4" width="14.21484375" style="0" customWidth="1"/>
    <col min="5" max="5" width="17.10546875" style="0" customWidth="1"/>
    <col min="6" max="6" width="5.99609375" style="0" hidden="1" customWidth="1"/>
    <col min="7" max="7" width="5.88671875" style="0" hidden="1" customWidth="1"/>
    <col min="8" max="8" width="2.88671875" style="0" customWidth="1"/>
    <col min="9" max="9" width="8.5546875" style="0" customWidth="1"/>
    <col min="10" max="10" width="0.88671875" style="0" customWidth="1"/>
  </cols>
  <sheetData>
    <row r="1" spans="2:11" ht="90.75" customHeight="1">
      <c r="B1" s="1131" t="str">
        <f>+'Result NAAC'!B1:F1</f>
        <v>SETH R.L.SAHARIA GOVT. P.G. COLLEGE KALADERA KALADERA (JAIPUR)</v>
      </c>
      <c r="C1" s="1131"/>
      <c r="D1" s="1131"/>
      <c r="E1" s="1131"/>
      <c r="K1" s="263"/>
    </row>
    <row r="2" spans="2:11" ht="35.25" customHeight="1">
      <c r="B2" s="1141" t="s">
        <v>163</v>
      </c>
      <c r="C2" s="1141"/>
      <c r="D2" s="1141"/>
      <c r="E2" s="1141"/>
      <c r="K2" s="263"/>
    </row>
    <row r="3" spans="2:15" ht="34.5" customHeight="1" thickBot="1">
      <c r="B3" s="1142" t="s">
        <v>161</v>
      </c>
      <c r="C3" s="1142"/>
      <c r="D3" s="1142"/>
      <c r="E3" s="1142"/>
      <c r="K3" s="265"/>
      <c r="L3" s="257"/>
      <c r="M3" s="257"/>
      <c r="N3" s="257"/>
      <c r="O3" s="257"/>
    </row>
    <row r="4" spans="2:15" ht="115.5" customHeight="1" thickBot="1">
      <c r="B4" s="179" t="s">
        <v>160</v>
      </c>
      <c r="C4" s="179" t="s">
        <v>184</v>
      </c>
      <c r="D4" s="179" t="s">
        <v>162</v>
      </c>
      <c r="E4" s="179" t="s">
        <v>186</v>
      </c>
      <c r="I4" s="267" t="s">
        <v>190</v>
      </c>
      <c r="K4" s="266"/>
      <c r="L4" s="258"/>
      <c r="M4" s="258"/>
      <c r="N4" s="258"/>
      <c r="O4" s="258"/>
    </row>
    <row r="5" spans="2:15" ht="27" thickBot="1">
      <c r="B5" s="184" t="str">
        <f>+Input!A7</f>
        <v>A. Teaching and Learning</v>
      </c>
      <c r="C5" s="185">
        <f>IF(D5="","",35*4)</f>
        <v>140</v>
      </c>
      <c r="D5" s="185">
        <f>IF(SUM(Input!J7:J37)=0,"",SUM(Input!J7:J37))</f>
        <v>78.5</v>
      </c>
      <c r="E5" s="180">
        <f aca="true" t="shared" si="0" ref="E5:E10">IF(D5="","",ROUND(D5/C5*100,2))</f>
        <v>56.07</v>
      </c>
      <c r="I5" s="199" t="s">
        <v>165</v>
      </c>
      <c r="K5" s="265"/>
      <c r="L5" s="257"/>
      <c r="M5" s="257"/>
      <c r="N5" s="257"/>
      <c r="O5" s="257"/>
    </row>
    <row r="6" spans="2:15" ht="27" thickBot="1">
      <c r="B6" s="182" t="str">
        <f>+Input!A38</f>
        <v>B. Research and Professional Practices</v>
      </c>
      <c r="C6" s="183">
        <f>IF(D6="","",15*4)</f>
        <v>60</v>
      </c>
      <c r="D6" s="183">
        <f>IF(SUM(Input!J38:J50)=0,"",SUM(Input!J38:J50))</f>
        <v>27.5</v>
      </c>
      <c r="E6" s="180">
        <f t="shared" si="0"/>
        <v>45.83</v>
      </c>
      <c r="I6" s="200" t="s">
        <v>166</v>
      </c>
      <c r="K6" s="265"/>
      <c r="L6" s="257"/>
      <c r="M6" s="257"/>
      <c r="N6" s="257"/>
      <c r="O6" s="257"/>
    </row>
    <row r="7" spans="2:11" ht="27" thickBot="1">
      <c r="B7" s="190" t="str">
        <f>+Input!A51</f>
        <v>C. Infrastructure and Learning Resources</v>
      </c>
      <c r="C7" s="191">
        <f>IF(D7="","",15*4)</f>
        <v>60</v>
      </c>
      <c r="D7" s="191">
        <f>IF(SUM(Input!J51:J74)=0,"",SUM(Input!J51:J74))</f>
        <v>50</v>
      </c>
      <c r="E7" s="180">
        <f t="shared" si="0"/>
        <v>83.33</v>
      </c>
      <c r="I7" s="201" t="s">
        <v>167</v>
      </c>
      <c r="K7" s="263"/>
    </row>
    <row r="8" spans="2:11" ht="27" thickBot="1">
      <c r="B8" s="192" t="str">
        <f>+Input!A75</f>
        <v>D. Student Support and participation</v>
      </c>
      <c r="C8" s="193">
        <f>IF(D8="","",10*4)</f>
        <v>40</v>
      </c>
      <c r="D8" s="193">
        <f>IF(SUM(Input!J75:J107)=0,"",SUM(Input!J75:J107))</f>
        <v>34</v>
      </c>
      <c r="E8" s="180">
        <f t="shared" si="0"/>
        <v>85</v>
      </c>
      <c r="I8" s="202" t="s">
        <v>168</v>
      </c>
      <c r="K8" s="263"/>
    </row>
    <row r="9" spans="2:11" ht="27" thickBot="1">
      <c r="B9" s="371" t="str">
        <f>+Input!A108</f>
        <v>E. Financial Resources and Utilisation</v>
      </c>
      <c r="C9" s="372">
        <f>IF(D9="","",10*4)</f>
        <v>40</v>
      </c>
      <c r="D9" s="372">
        <f>IF(SUM(Input!J108:J112)=0,"",SUM(Input!J108:J112))</f>
        <v>26</v>
      </c>
      <c r="E9" s="180">
        <f t="shared" si="0"/>
        <v>65</v>
      </c>
      <c r="I9" s="203" t="s">
        <v>169</v>
      </c>
      <c r="K9" s="263"/>
    </row>
    <row r="10" spans="2:11" ht="27" thickBot="1">
      <c r="B10" s="194" t="str">
        <f>+Input!A113</f>
        <v>F. Commitment, Leadership and Management</v>
      </c>
      <c r="C10" s="195">
        <f>IF(D10="","",15*4)</f>
        <v>60</v>
      </c>
      <c r="D10" s="195">
        <f>IF(SUM(Input!J113:J137)=0,"",SUM(Input!J113:J137))</f>
        <v>30</v>
      </c>
      <c r="E10" s="180">
        <f t="shared" si="0"/>
        <v>50</v>
      </c>
      <c r="I10" s="204" t="s">
        <v>170</v>
      </c>
      <c r="K10" s="263"/>
    </row>
    <row r="11" spans="2:11" ht="31.5" thickBot="1">
      <c r="B11" s="186" t="s">
        <v>158</v>
      </c>
      <c r="C11" s="187">
        <f>IF(SUM(C5:C10)=0,"",SUM(C5:C10))</f>
        <v>400</v>
      </c>
      <c r="D11" s="187">
        <f>IF(SUM(D5:D10)=0,"",SUM(D5:D10))</f>
        <v>246</v>
      </c>
      <c r="E11" s="181"/>
      <c r="K11" s="263"/>
    </row>
    <row r="12" spans="2:11" ht="38.25" hidden="1" thickBot="1">
      <c r="B12" s="188" t="s">
        <v>159</v>
      </c>
      <c r="C12" s="189">
        <f>IF(C11="","",ROUND(C11/4,2))</f>
        <v>100</v>
      </c>
      <c r="D12" s="189">
        <f>IF(D11="","",ROUND(D11/4,4))</f>
        <v>61.5</v>
      </c>
      <c r="E12" s="181"/>
      <c r="K12" s="263"/>
    </row>
    <row r="13" ht="18.75">
      <c r="K13" s="263"/>
    </row>
    <row r="14" ht="18.75">
      <c r="K14" s="263"/>
    </row>
    <row r="15" spans="1:11" ht="18.75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1" ht="18.7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18.75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</row>
    <row r="18" spans="1:11" ht="18.75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</row>
  </sheetData>
  <sheetProtection password="EAF4" sheet="1" objects="1" scenarios="1" selectLockedCells="1"/>
  <mergeCells count="3">
    <mergeCell ref="B1:E1"/>
    <mergeCell ref="B2:E2"/>
    <mergeCell ref="B3:E3"/>
  </mergeCells>
  <conditionalFormatting sqref="E5:E10">
    <cfRule type="cellIs" priority="35" dxfId="28" operator="lessThan">
      <formula>50.001</formula>
    </cfRule>
    <cfRule type="cellIs" priority="36" dxfId="41" operator="greaterThan">
      <formula>50</formula>
    </cfRule>
  </conditionalFormatting>
  <conditionalFormatting sqref="E5">
    <cfRule type="cellIs" priority="33" dxfId="28" operator="lessThan">
      <formula>50.001</formula>
    </cfRule>
    <cfRule type="cellIs" priority="34" dxfId="41" operator="greaterThan">
      <formula>50</formula>
    </cfRule>
  </conditionalFormatting>
  <conditionalFormatting sqref="E6">
    <cfRule type="cellIs" priority="31" dxfId="28" operator="lessThan">
      <formula>50.001</formula>
    </cfRule>
    <cfRule type="cellIs" priority="32" dxfId="41" operator="greaterThan">
      <formula>50</formula>
    </cfRule>
  </conditionalFormatting>
  <conditionalFormatting sqref="E5">
    <cfRule type="cellIs" priority="29" dxfId="28" operator="lessThan">
      <formula>50.001</formula>
    </cfRule>
    <cfRule type="cellIs" priority="30" dxfId="41" operator="greaterThan">
      <formula>50</formula>
    </cfRule>
  </conditionalFormatting>
  <conditionalFormatting sqref="E7">
    <cfRule type="cellIs" priority="27" dxfId="28" operator="lessThan">
      <formula>50.001</formula>
    </cfRule>
    <cfRule type="cellIs" priority="28" dxfId="41" operator="greaterThan">
      <formula>50</formula>
    </cfRule>
  </conditionalFormatting>
  <conditionalFormatting sqref="E8">
    <cfRule type="cellIs" priority="25" dxfId="28" operator="lessThan">
      <formula>50.001</formula>
    </cfRule>
    <cfRule type="cellIs" priority="26" dxfId="41" operator="greaterThan">
      <formula>50</formula>
    </cfRule>
  </conditionalFormatting>
  <conditionalFormatting sqref="E9">
    <cfRule type="cellIs" priority="23" dxfId="28" operator="lessThan">
      <formula>50.001</formula>
    </cfRule>
    <cfRule type="cellIs" priority="24" dxfId="41" operator="greaterThan">
      <formula>50</formula>
    </cfRule>
  </conditionalFormatting>
  <conditionalFormatting sqref="E10">
    <cfRule type="cellIs" priority="21" dxfId="28" operator="lessThan">
      <formula>50.001</formula>
    </cfRule>
    <cfRule type="cellIs" priority="22" dxfId="41" operator="greaterThan">
      <formula>50</formula>
    </cfRule>
  </conditionalFormatting>
  <conditionalFormatting sqref="E6">
    <cfRule type="cellIs" priority="19" dxfId="28" operator="lessThan">
      <formula>50.001</formula>
    </cfRule>
    <cfRule type="cellIs" priority="20" dxfId="41" operator="greaterThan">
      <formula>50</formula>
    </cfRule>
  </conditionalFormatting>
  <conditionalFormatting sqref="E6">
    <cfRule type="cellIs" priority="17" dxfId="28" operator="lessThan">
      <formula>50.001</formula>
    </cfRule>
    <cfRule type="cellIs" priority="18" dxfId="41" operator="greaterThan">
      <formula>50</formula>
    </cfRule>
  </conditionalFormatting>
  <conditionalFormatting sqref="E7">
    <cfRule type="cellIs" priority="15" dxfId="28" operator="lessThan">
      <formula>50.001</formula>
    </cfRule>
    <cfRule type="cellIs" priority="16" dxfId="41" operator="greaterThan">
      <formula>50</formula>
    </cfRule>
  </conditionalFormatting>
  <conditionalFormatting sqref="E7">
    <cfRule type="cellIs" priority="13" dxfId="28" operator="lessThan">
      <formula>50.001</formula>
    </cfRule>
    <cfRule type="cellIs" priority="14" dxfId="41" operator="greaterThan">
      <formula>50</formula>
    </cfRule>
  </conditionalFormatting>
  <conditionalFormatting sqref="E8">
    <cfRule type="cellIs" priority="11" dxfId="28" operator="lessThan">
      <formula>50.001</formula>
    </cfRule>
    <cfRule type="cellIs" priority="12" dxfId="41" operator="greaterThan">
      <formula>50</formula>
    </cfRule>
  </conditionalFormatting>
  <conditionalFormatting sqref="E8">
    <cfRule type="cellIs" priority="9" dxfId="28" operator="lessThan">
      <formula>50.001</formula>
    </cfRule>
    <cfRule type="cellIs" priority="10" dxfId="41" operator="greaterThan">
      <formula>50</formula>
    </cfRule>
  </conditionalFormatting>
  <conditionalFormatting sqref="E9">
    <cfRule type="cellIs" priority="7" dxfId="28" operator="lessThan">
      <formula>50.001</formula>
    </cfRule>
    <cfRule type="cellIs" priority="8" dxfId="41" operator="greaterThan">
      <formula>50</formula>
    </cfRule>
  </conditionalFormatting>
  <conditionalFormatting sqref="E9">
    <cfRule type="cellIs" priority="5" dxfId="28" operator="lessThan">
      <formula>50.001</formula>
    </cfRule>
    <cfRule type="cellIs" priority="6" dxfId="41" operator="greaterThan">
      <formula>50</formula>
    </cfRule>
  </conditionalFormatting>
  <conditionalFormatting sqref="E10">
    <cfRule type="cellIs" priority="3" dxfId="28" operator="lessThan">
      <formula>50.001</formula>
    </cfRule>
    <cfRule type="cellIs" priority="4" dxfId="41" operator="greaterThan">
      <formula>50</formula>
    </cfRule>
  </conditionalFormatting>
  <conditionalFormatting sqref="E10">
    <cfRule type="cellIs" priority="1" dxfId="28" operator="lessThan">
      <formula>50.001</formula>
    </cfRule>
    <cfRule type="cellIs" priority="2" dxfId="41" operator="greaterThan">
      <formula>50</formula>
    </cfRule>
  </conditionalFormatting>
  <printOptions horizontalCentered="1"/>
  <pageMargins left="0.1968503937007874" right="0.1968503937007874" top="0.2362204724409449" bottom="0.2362204724409449" header="0.31496062992125984" footer="0.3149606299212598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7030A0"/>
  </sheetPr>
  <dimension ref="A1:BK191"/>
  <sheetViews>
    <sheetView zoomScaleSheetLayoutView="70" zoomScalePageLayoutView="0" workbookViewId="0" topLeftCell="A1">
      <pane xSplit="3" ySplit="6" topLeftCell="D13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AG105" sqref="AG105:AZ105"/>
    </sheetView>
  </sheetViews>
  <sheetFormatPr defaultColWidth="0" defaultRowHeight="25.5" customHeight="1" zeroHeight="1"/>
  <cols>
    <col min="1" max="1" width="6.3359375" style="442" customWidth="1"/>
    <col min="2" max="2" width="8.77734375" style="442" customWidth="1"/>
    <col min="3" max="3" width="4.6640625" style="269" customWidth="1"/>
    <col min="4" max="4" width="32.10546875" style="271" customWidth="1"/>
    <col min="5" max="5" width="6.99609375" style="220" hidden="1" customWidth="1"/>
    <col min="6" max="6" width="8.10546875" style="220" hidden="1" customWidth="1"/>
    <col min="7" max="7" width="7.99609375" style="2" hidden="1" customWidth="1"/>
    <col min="8" max="8" width="7.21484375" style="2" hidden="1" customWidth="1"/>
    <col min="9" max="9" width="5.3359375" style="696" customWidth="1"/>
    <col min="10" max="10" width="9.10546875" style="2" hidden="1" customWidth="1"/>
    <col min="11" max="15" width="3.88671875" style="2" hidden="1" customWidth="1"/>
    <col min="16" max="26" width="13.5546875" style="2" hidden="1" customWidth="1"/>
    <col min="27" max="27" width="5.21484375" style="2" hidden="1" customWidth="1"/>
    <col min="28" max="28" width="1.5625" style="2" hidden="1" customWidth="1"/>
    <col min="29" max="29" width="4.88671875" style="2" hidden="1" customWidth="1"/>
    <col min="30" max="30" width="13.10546875" style="0" hidden="1" customWidth="1"/>
    <col min="31" max="31" width="16.6640625" style="0" hidden="1" customWidth="1"/>
    <col min="32" max="32" width="3.88671875" style="0" hidden="1" customWidth="1"/>
    <col min="33" max="33" width="1.88671875" style="0" customWidth="1"/>
    <col min="34" max="34" width="19.4453125" style="0" customWidth="1"/>
    <col min="35" max="35" width="18.88671875" style="0" customWidth="1"/>
    <col min="36" max="38" width="5.4453125" style="0" hidden="1" customWidth="1"/>
    <col min="39" max="39" width="0.55078125" style="0" hidden="1" customWidth="1"/>
    <col min="40" max="41" width="0.671875" style="0" hidden="1" customWidth="1"/>
    <col min="42" max="42" width="9.99609375" style="0" customWidth="1"/>
    <col min="43" max="48" width="0.671875" style="0" customWidth="1"/>
    <col min="49" max="49" width="1.1171875" style="0" customWidth="1"/>
    <col min="50" max="50" width="0.671875" style="0" customWidth="1"/>
    <col min="51" max="51" width="0.3359375" style="0" customWidth="1"/>
    <col min="52" max="52" width="0.671875" style="0" hidden="1" customWidth="1"/>
    <col min="53" max="53" width="14.3359375" style="0" hidden="1" customWidth="1"/>
    <col min="54" max="62" width="8.88671875" style="0" hidden="1" customWidth="1"/>
    <col min="63" max="63" width="9.5546875" style="0" hidden="1" customWidth="1"/>
    <col min="64" max="16384" width="8.88671875" style="0" hidden="1" customWidth="1"/>
  </cols>
  <sheetData>
    <row r="1" spans="1:53" ht="25.5" customHeight="1" hidden="1" thickBot="1">
      <c r="A1" s="1087" t="str">
        <f>+'Result NAAC'!B1</f>
        <v>SETH R.L.SAHARIA GOVT. P.G. COLLEGE KALADERA KALADERA (JAIPUR)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  <c r="AD1" s="1219" t="s">
        <v>172</v>
      </c>
      <c r="AE1" s="1219"/>
      <c r="AF1" s="1219"/>
      <c r="AG1" s="1219"/>
      <c r="AH1" s="1220" t="s">
        <v>210</v>
      </c>
      <c r="AI1" s="1222">
        <v>123456</v>
      </c>
      <c r="AJ1" s="409"/>
      <c r="AK1" s="409"/>
      <c r="AL1" s="409"/>
      <c r="AM1" s="412"/>
      <c r="AN1" s="412"/>
      <c r="AO1" s="413"/>
      <c r="AP1" s="414">
        <f>IF(LEFT($AI$1,1)="",0,INT(LEFT($AI$1,1)))</f>
        <v>1</v>
      </c>
      <c r="AQ1" s="414">
        <f>IF(MID($AI$1,5,1)="",0,INT(MID($AI$1,5,1)))</f>
        <v>5</v>
      </c>
      <c r="AR1" s="414">
        <f>IF(SUM(AS1:AY4)&lt;&gt;600,0,21)</f>
        <v>21</v>
      </c>
      <c r="AS1" s="414">
        <f>IF(COUNTIF($AP$1:$AQ$4,"=1")=1,100,0)</f>
        <v>100</v>
      </c>
      <c r="AT1" s="414"/>
      <c r="AU1" s="414"/>
      <c r="AV1" s="414"/>
      <c r="AW1" s="414"/>
      <c r="AX1" s="414"/>
      <c r="AY1" s="414">
        <f>IF(COUNTIF($AP$1:$AQ$4,"=5")=1,100,0)</f>
        <v>100</v>
      </c>
      <c r="AZ1" s="415"/>
      <c r="BA1" s="413"/>
    </row>
    <row r="2" spans="1:53" ht="25.5" customHeight="1" hidden="1" thickBot="1">
      <c r="A2" s="1088" t="str">
        <f>+'Result NAAC'!B2</f>
        <v>Assessment Matrix for Annual Auditing Programe : Final Report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  <c r="O2" s="1088"/>
      <c r="P2" s="1088"/>
      <c r="Q2" s="1088"/>
      <c r="R2" s="1088"/>
      <c r="S2" s="1088"/>
      <c r="T2" s="1088"/>
      <c r="U2" s="1088"/>
      <c r="V2" s="1088"/>
      <c r="W2" s="1088"/>
      <c r="X2" s="1088"/>
      <c r="Y2" s="1088"/>
      <c r="Z2" s="1088"/>
      <c r="AA2" s="1088"/>
      <c r="AB2" s="1088"/>
      <c r="AC2" s="1088"/>
      <c r="AD2" s="1225">
        <v>9413307717</v>
      </c>
      <c r="AE2" s="1225"/>
      <c r="AF2" s="1225"/>
      <c r="AG2" s="1225"/>
      <c r="AH2" s="1221"/>
      <c r="AI2" s="1223"/>
      <c r="AJ2" s="410"/>
      <c r="AK2" s="410"/>
      <c r="AL2" s="410"/>
      <c r="AM2" s="412"/>
      <c r="AN2" s="412"/>
      <c r="AO2" s="413"/>
      <c r="AP2" s="414">
        <f>IF(MID($AI$1,2,1)="",0,INT(MID($AI$1,2,1)))</f>
        <v>2</v>
      </c>
      <c r="AQ2" s="414">
        <f>IF(RIGHT($AI$1,1)="",0,INT(RIGHT($AI$1,1)))</f>
        <v>6</v>
      </c>
      <c r="AR2" s="414"/>
      <c r="AS2" s="414">
        <f>IF(COUNTIF($AP$1:$AQ$4,"=2")=1,100,0)</f>
        <v>100</v>
      </c>
      <c r="AT2" s="414"/>
      <c r="AU2" s="414"/>
      <c r="AV2" s="414"/>
      <c r="AW2" s="414"/>
      <c r="AX2" s="414"/>
      <c r="AY2" s="414">
        <f>IF(COUNTIF($AP$1:$AQ$4,"=6")=1,100,0)</f>
        <v>100</v>
      </c>
      <c r="AZ2" s="415"/>
      <c r="BA2" s="413"/>
    </row>
    <row r="3" spans="1:53" ht="19.5" customHeight="1" hidden="1" thickBot="1">
      <c r="A3" s="1089" t="str">
        <f>+'Result NAAC'!B3</f>
        <v>Inspection Phase : First for Session : 2019-20 and Inspection Dates : 17-MAR-2020 and 18-MAR-2020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1089"/>
      <c r="U3" s="1089"/>
      <c r="V3" s="1089"/>
      <c r="W3" s="1089"/>
      <c r="X3" s="1089"/>
      <c r="Y3" s="1089"/>
      <c r="Z3" s="1089"/>
      <c r="AA3" s="1089"/>
      <c r="AB3" s="1089"/>
      <c r="AC3" s="1089"/>
      <c r="AD3" s="1226" t="s">
        <v>193</v>
      </c>
      <c r="AE3" s="1226"/>
      <c r="AF3" s="1226"/>
      <c r="AG3" s="1226"/>
      <c r="AH3" s="1228"/>
      <c r="AI3" s="1223"/>
      <c r="AJ3" s="411"/>
      <c r="AK3" s="411"/>
      <c r="AL3" s="411"/>
      <c r="AM3" s="412"/>
      <c r="AN3" s="412"/>
      <c r="AO3" s="413"/>
      <c r="AP3" s="414">
        <f>IF(MID($AI$1,3,1)="",0,INT(MID($AI$1,3,1)))</f>
        <v>3</v>
      </c>
      <c r="AQ3" s="414"/>
      <c r="AR3" s="414"/>
      <c r="AS3" s="414">
        <f>IF(COUNTIF($AP$1:$AQ$4,"=3")=1,100,0)</f>
        <v>100</v>
      </c>
      <c r="AT3" s="414"/>
      <c r="AU3" s="414"/>
      <c r="AV3" s="414"/>
      <c r="AW3" s="414"/>
      <c r="AX3" s="414"/>
      <c r="AY3" s="414"/>
      <c r="AZ3" s="415"/>
      <c r="BA3" s="413"/>
    </row>
    <row r="4" spans="1:53" ht="19.5" customHeight="1" hidden="1" thickBot="1">
      <c r="A4" s="1111" t="s">
        <v>191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  <c r="W4" s="1111"/>
      <c r="X4" s="1111"/>
      <c r="Y4" s="1111"/>
      <c r="Z4" s="1111"/>
      <c r="AA4" s="1111"/>
      <c r="AB4" s="1111"/>
      <c r="AC4" s="1111"/>
      <c r="AD4" s="1226"/>
      <c r="AE4" s="1226"/>
      <c r="AF4" s="1226"/>
      <c r="AG4" s="1227"/>
      <c r="AH4" s="1228"/>
      <c r="AI4" s="1224"/>
      <c r="AM4" s="416"/>
      <c r="AN4" s="416"/>
      <c r="AO4" s="416"/>
      <c r="AP4" s="417">
        <f>IF(MID($AI$1,4,1)="",0,INT(MID($AI$1,4,1)))</f>
        <v>4</v>
      </c>
      <c r="AQ4" s="417"/>
      <c r="AR4" s="417"/>
      <c r="AS4" s="417">
        <f>IF(COUNTIF($AP$1:$AQ$4,"=4")=1,100,0)</f>
        <v>100</v>
      </c>
      <c r="AT4" s="417"/>
      <c r="AU4" s="417"/>
      <c r="AV4" s="417"/>
      <c r="AW4" s="417"/>
      <c r="AX4" s="417"/>
      <c r="AY4" s="417"/>
      <c r="AZ4" s="418"/>
      <c r="BA4" s="416"/>
    </row>
    <row r="5" spans="1:53" ht="25.5" customHeight="1" thickBot="1" thickTop="1">
      <c r="A5" s="1207" t="s">
        <v>192</v>
      </c>
      <c r="B5" s="1207" t="s">
        <v>1</v>
      </c>
      <c r="C5" s="1209" t="s">
        <v>2</v>
      </c>
      <c r="D5" s="1211" t="s">
        <v>3</v>
      </c>
      <c r="E5" s="1213" t="s">
        <v>164</v>
      </c>
      <c r="F5" s="1214"/>
      <c r="G5" s="1217" t="s">
        <v>154</v>
      </c>
      <c r="H5" s="1201" t="s">
        <v>5</v>
      </c>
      <c r="I5" s="1203" t="s">
        <v>4</v>
      </c>
      <c r="J5" s="1205" t="s">
        <v>155</v>
      </c>
      <c r="K5" s="1055">
        <v>0</v>
      </c>
      <c r="L5" s="1057">
        <v>1</v>
      </c>
      <c r="M5" s="1057">
        <v>2</v>
      </c>
      <c r="N5" s="1057">
        <v>3</v>
      </c>
      <c r="O5" s="1057">
        <v>4</v>
      </c>
      <c r="P5" s="1090" t="s">
        <v>5</v>
      </c>
      <c r="Q5" s="1090"/>
      <c r="R5" s="1090"/>
      <c r="S5" s="1090"/>
      <c r="T5" s="1090"/>
      <c r="U5" s="1090"/>
      <c r="V5" s="1090"/>
      <c r="W5" s="1090"/>
      <c r="X5" s="1090"/>
      <c r="Y5" s="435"/>
      <c r="Z5" s="435"/>
      <c r="AA5" s="1191" t="s">
        <v>221</v>
      </c>
      <c r="AB5" s="1192"/>
      <c r="AC5" s="1193"/>
      <c r="AD5" s="1197" t="s">
        <v>195</v>
      </c>
      <c r="AE5" s="1199" t="s">
        <v>209</v>
      </c>
      <c r="AF5" s="1068"/>
      <c r="AG5" s="1190" t="s">
        <v>212</v>
      </c>
      <c r="AH5" s="1075"/>
      <c r="AI5" s="1075"/>
      <c r="AJ5" s="1075"/>
      <c r="AK5" s="1075"/>
      <c r="AL5" s="1075"/>
      <c r="AM5" s="1075"/>
      <c r="AN5" s="1075"/>
      <c r="AO5" s="1075"/>
      <c r="AP5" s="1075"/>
      <c r="AQ5" s="1075"/>
      <c r="AR5" s="1075"/>
      <c r="AS5" s="1075"/>
      <c r="AT5" s="1075"/>
      <c r="AU5" s="1075"/>
      <c r="AV5" s="1075"/>
      <c r="AW5" s="1075"/>
      <c r="AX5" s="1075"/>
      <c r="AY5" s="1075"/>
      <c r="AZ5" s="1076"/>
      <c r="BA5" s="1011" t="s">
        <v>194</v>
      </c>
    </row>
    <row r="6" spans="1:63" ht="31.5" customHeight="1" thickBot="1">
      <c r="A6" s="1208"/>
      <c r="B6" s="1208"/>
      <c r="C6" s="1210"/>
      <c r="D6" s="1212"/>
      <c r="E6" s="1215"/>
      <c r="F6" s="1216"/>
      <c r="G6" s="1218"/>
      <c r="H6" s="1202"/>
      <c r="I6" s="1204"/>
      <c r="J6" s="1206"/>
      <c r="K6" s="1056"/>
      <c r="L6" s="1058"/>
      <c r="M6" s="1058"/>
      <c r="N6" s="1058"/>
      <c r="O6" s="1058"/>
      <c r="P6" s="1048">
        <v>0</v>
      </c>
      <c r="Q6" s="1049"/>
      <c r="R6" s="1048">
        <v>1</v>
      </c>
      <c r="S6" s="1049"/>
      <c r="T6" s="1048">
        <v>2</v>
      </c>
      <c r="U6" s="1049"/>
      <c r="V6" s="1048">
        <v>3</v>
      </c>
      <c r="W6" s="1049"/>
      <c r="X6" s="1048">
        <v>4</v>
      </c>
      <c r="Y6" s="1118"/>
      <c r="Z6" s="436"/>
      <c r="AA6" s="1194"/>
      <c r="AB6" s="1195"/>
      <c r="AC6" s="1196"/>
      <c r="AD6" s="1198"/>
      <c r="AE6" s="1200"/>
      <c r="AF6" s="1068"/>
      <c r="AG6" s="1077"/>
      <c r="AH6" s="1078"/>
      <c r="AI6" s="1078"/>
      <c r="AJ6" s="1078"/>
      <c r="AK6" s="1078"/>
      <c r="AL6" s="1078"/>
      <c r="AM6" s="1078"/>
      <c r="AN6" s="1078"/>
      <c r="AO6" s="1078"/>
      <c r="AP6" s="1078"/>
      <c r="AQ6" s="1078"/>
      <c r="AR6" s="1078"/>
      <c r="AS6" s="1078"/>
      <c r="AT6" s="1078"/>
      <c r="AU6" s="1078"/>
      <c r="AV6" s="1078"/>
      <c r="AW6" s="1078"/>
      <c r="AX6" s="1078"/>
      <c r="AY6" s="1078"/>
      <c r="AZ6" s="1079"/>
      <c r="BA6" s="1012"/>
      <c r="BF6">
        <f aca="true" t="shared" si="0" ref="BF6:BK6">SUM(BF7:BF137)</f>
        <v>524</v>
      </c>
      <c r="BG6">
        <f t="shared" si="0"/>
        <v>100</v>
      </c>
      <c r="BH6">
        <f t="shared" si="0"/>
        <v>400</v>
      </c>
      <c r="BI6">
        <f t="shared" si="0"/>
        <v>0</v>
      </c>
      <c r="BJ6">
        <f t="shared" si="0"/>
        <v>400</v>
      </c>
      <c r="BK6">
        <f t="shared" si="0"/>
        <v>0</v>
      </c>
    </row>
    <row r="7" spans="1:61" ht="37.5" customHeight="1" thickBot="1" thickTop="1">
      <c r="A7" s="1117" t="s">
        <v>6</v>
      </c>
      <c r="B7" s="1187" t="s">
        <v>7</v>
      </c>
      <c r="C7" s="340">
        <v>1</v>
      </c>
      <c r="D7" s="298" t="s">
        <v>29</v>
      </c>
      <c r="E7" s="279"/>
      <c r="F7" s="280"/>
      <c r="G7" s="281">
        <f>IF(E7="","",ROUND(E7/F7,4))</f>
      </c>
      <c r="H7" s="282">
        <f>IF(OR(E7="",F7="",F7=0),"",SUM(K7:O7))</f>
      </c>
      <c r="I7" s="676">
        <v>3</v>
      </c>
      <c r="J7" s="283">
        <f>IF(H7="","",+H7*I7*Z7)</f>
      </c>
      <c r="K7" s="342">
        <f>IF($G7&lt;$R7%,$K$5,"")</f>
      </c>
      <c r="L7" s="343">
        <f>IF(AND($G7&lt;$T7%,$G7&gt;$Q7%),$L$5,"")</f>
      </c>
      <c r="M7" s="343">
        <f>IF(AND($G7&lt;$V7%,$G7&gt;$S7%),$M$5,"")</f>
      </c>
      <c r="N7" s="343">
        <f>IF(AND($G7&lt;$X7%,$G7&gt;$U7%),$N$5,"")</f>
      </c>
      <c r="O7" s="343">
        <f>IF(AND($G7&lt;Y7%,G7&gt;W7%),$O$5,"")</f>
      </c>
      <c r="P7" s="22">
        <v>0</v>
      </c>
      <c r="Q7" s="22">
        <v>20</v>
      </c>
      <c r="R7" s="3">
        <v>20.0001</v>
      </c>
      <c r="S7" s="3">
        <v>40</v>
      </c>
      <c r="T7" s="3">
        <v>40.0001</v>
      </c>
      <c r="U7" s="3">
        <v>60</v>
      </c>
      <c r="V7" s="3">
        <v>60.0001</v>
      </c>
      <c r="W7" s="3">
        <v>80</v>
      </c>
      <c r="X7" s="3">
        <v>80.0001</v>
      </c>
      <c r="Y7" s="3">
        <v>10000</v>
      </c>
      <c r="Z7" s="255">
        <f>IF(AD7="YES",1,0)*IF(BA7="ERROR INPUT",0,1)*IF(OR($BA$143=0,$BA$143=""),1,(IF(AE7="NOT VERIFIED",0,1)))</f>
        <v>0</v>
      </c>
      <c r="AA7" s="443"/>
      <c r="AB7" s="444" t="s">
        <v>220</v>
      </c>
      <c r="AC7" s="445"/>
      <c r="AD7" s="419"/>
      <c r="AE7" s="408"/>
      <c r="AF7" s="348"/>
      <c r="AG7" s="1028" t="s">
        <v>219</v>
      </c>
      <c r="AH7" s="1029"/>
      <c r="AI7" s="1029"/>
      <c r="AJ7" s="1029"/>
      <c r="AK7" s="1029"/>
      <c r="AL7" s="1029"/>
      <c r="AM7" s="1029"/>
      <c r="AN7" s="1029"/>
      <c r="AO7" s="1029"/>
      <c r="AP7" s="1029"/>
      <c r="AQ7" s="1029"/>
      <c r="AR7" s="1029"/>
      <c r="AS7" s="1029"/>
      <c r="AT7" s="1029"/>
      <c r="AU7" s="1029"/>
      <c r="AV7" s="1029"/>
      <c r="AW7" s="1029"/>
      <c r="AX7" s="1029"/>
      <c r="AY7" s="1029"/>
      <c r="AZ7" s="1185"/>
      <c r="BA7" s="355">
        <f>IF(E7&gt;F7,"ERROR INPUT","")</f>
      </c>
      <c r="BF7">
        <v>4</v>
      </c>
      <c r="BG7" s="358">
        <f>+I7</f>
        <v>3</v>
      </c>
      <c r="BH7">
        <f>+BF7*BG7</f>
        <v>12</v>
      </c>
      <c r="BI7" s="358">
        <f>IF(J7="",0,+J7)</f>
        <v>0</v>
      </c>
    </row>
    <row r="8" spans="1:63" ht="58.5" customHeight="1" thickBot="1">
      <c r="A8" s="1113"/>
      <c r="B8" s="1060"/>
      <c r="C8" s="314">
        <f>1+C7</f>
        <v>2</v>
      </c>
      <c r="D8" s="299" t="s">
        <v>30</v>
      </c>
      <c r="E8" s="272"/>
      <c r="F8" s="205"/>
      <c r="G8" s="159">
        <f>IF(E8="","",ROUND(E8/F8,4))</f>
      </c>
      <c r="H8" s="125">
        <f>IF(OR(E8="",F8="",F8=0),"",SUM(K8:O8))</f>
      </c>
      <c r="I8" s="677">
        <v>2.5</v>
      </c>
      <c r="J8" s="144">
        <f>IF(H8="","",+H8*I8*Z8)</f>
      </c>
      <c r="K8" s="32">
        <f>IF($G8&lt;$R8,$K$5,"")</f>
      </c>
      <c r="L8" s="32">
        <f>IF(AND($G8&lt;$T8,$G8&gt;$Q8),$L$5,"")</f>
      </c>
      <c r="M8" s="32">
        <f>IF(AND($G8&lt;$V8,$G8&gt;$S8),$M$5,"")</f>
      </c>
      <c r="N8" s="32">
        <f>IF(AND($G8&lt;$X8,$G8&gt;$U8),$N$5,"")</f>
      </c>
      <c r="O8" s="32">
        <f>IF(AND($G8&lt;Y8,G8&gt;W8),$O$5,"")</f>
      </c>
      <c r="P8" s="4">
        <v>0</v>
      </c>
      <c r="Q8" s="4">
        <v>0.1999</v>
      </c>
      <c r="R8" s="4">
        <v>0.2</v>
      </c>
      <c r="S8" s="4">
        <v>0.9999</v>
      </c>
      <c r="T8" s="4">
        <v>1</v>
      </c>
      <c r="U8" s="4">
        <v>1.4999</v>
      </c>
      <c r="V8" s="4">
        <v>1.5</v>
      </c>
      <c r="W8" s="4">
        <v>1.9999</v>
      </c>
      <c r="X8" s="4">
        <v>2</v>
      </c>
      <c r="Y8" s="3">
        <v>10000</v>
      </c>
      <c r="Z8" s="255">
        <f aca="true" t="shared" si="1" ref="Z8:Z71">IF(AD8="YES",1,0)*IF(BA8="ERROR INPUT",0,1)*IF(OR($BA$143=0,$BA$143=""),1,(IF(AE8="NOT VERIFIED",0,1)))</f>
        <v>0</v>
      </c>
      <c r="AA8" s="443"/>
      <c r="AB8" s="444" t="s">
        <v>220</v>
      </c>
      <c r="AC8" s="445"/>
      <c r="AD8" s="419"/>
      <c r="AE8" s="408"/>
      <c r="AF8" s="348"/>
      <c r="AG8" s="1028" t="s">
        <v>211</v>
      </c>
      <c r="AH8" s="1029"/>
      <c r="AI8" s="1029"/>
      <c r="AJ8" s="1029"/>
      <c r="AK8" s="1029"/>
      <c r="AL8" s="1029"/>
      <c r="AM8" s="1029"/>
      <c r="AN8" s="1029"/>
      <c r="AO8" s="1029"/>
      <c r="AP8" s="1029"/>
      <c r="AQ8" s="1029"/>
      <c r="AR8" s="1029"/>
      <c r="AS8" s="1029"/>
      <c r="AT8" s="1029"/>
      <c r="AU8" s="1029"/>
      <c r="AV8" s="1029"/>
      <c r="AW8" s="1029"/>
      <c r="AX8" s="1029"/>
      <c r="AY8" s="1029"/>
      <c r="AZ8" s="1185"/>
      <c r="BA8" s="356"/>
      <c r="BF8">
        <v>4</v>
      </c>
      <c r="BG8" s="358">
        <f aca="true" t="shared" si="2" ref="BG8:BG71">+I8</f>
        <v>2.5</v>
      </c>
      <c r="BH8">
        <f aca="true" t="shared" si="3" ref="BH8:BH71">+BF8*BG8</f>
        <v>10</v>
      </c>
      <c r="BI8" s="358">
        <f aca="true" t="shared" si="4" ref="BI8:BI71">IF(J8="",0,+J8)</f>
        <v>0</v>
      </c>
      <c r="BJ8">
        <f>+BH8+BH7</f>
        <v>22</v>
      </c>
      <c r="BK8" s="359">
        <f>+BI8+BI7</f>
        <v>0</v>
      </c>
    </row>
    <row r="9" spans="1:61" ht="37.5" customHeight="1" thickBot="1">
      <c r="A9" s="1113"/>
      <c r="B9" s="1112" t="s">
        <v>8</v>
      </c>
      <c r="C9" s="1052">
        <f aca="true" t="shared" si="5" ref="C9:C72">1+C8</f>
        <v>3</v>
      </c>
      <c r="D9" s="300" t="s">
        <v>157</v>
      </c>
      <c r="E9" s="649"/>
      <c r="F9" s="206">
        <f>+$E$7</f>
        <v>0</v>
      </c>
      <c r="G9" s="160">
        <f>IF(E9="","",ROUND(E9/F9,4))</f>
      </c>
      <c r="H9" s="126">
        <f>IF(OR(E9="",F9="",F9=0),"",IF(E10="yes",0,SUM(K9:O9)))</f>
      </c>
      <c r="I9" s="1188">
        <v>1.5</v>
      </c>
      <c r="J9" s="145">
        <f>IF(H9="","",+H9*I9*Z9)</f>
      </c>
      <c r="K9" s="72">
        <f>IF($G9&lt;$R9%,$K$5,"")</f>
      </c>
      <c r="L9" s="72">
        <f aca="true" t="shared" si="6" ref="L9:L19">IF(AND($G9&lt;$T9%,$G9&gt;$Q9%),$L$5,"")</f>
      </c>
      <c r="M9" s="72">
        <f aca="true" t="shared" si="7" ref="M9:M19">IF(AND($G9&lt;$V9%,$G9&gt;$S9%),$M$5,"")</f>
      </c>
      <c r="N9" s="72">
        <f aca="true" t="shared" si="8" ref="N9:N19">IF(AND($G9&lt;$X9%,$G9&gt;$U9%),$N$5,"")</f>
      </c>
      <c r="O9" s="72">
        <f>IF(AND($G9&lt;Y9%,G9&gt;W9%),$O$5,"")</f>
      </c>
      <c r="P9" s="5">
        <v>0</v>
      </c>
      <c r="Q9" s="5">
        <v>9.999</v>
      </c>
      <c r="R9" s="5">
        <v>10</v>
      </c>
      <c r="S9" s="360">
        <v>19.999</v>
      </c>
      <c r="T9" s="5">
        <v>20</v>
      </c>
      <c r="U9" s="5">
        <v>29.999</v>
      </c>
      <c r="V9" s="5">
        <v>30</v>
      </c>
      <c r="W9" s="5">
        <v>49.999</v>
      </c>
      <c r="X9" s="5">
        <v>50</v>
      </c>
      <c r="Y9" s="76">
        <v>10000</v>
      </c>
      <c r="Z9" s="255">
        <f t="shared" si="1"/>
        <v>0</v>
      </c>
      <c r="AA9" s="446"/>
      <c r="AB9" s="447" t="s">
        <v>220</v>
      </c>
      <c r="AC9" s="420"/>
      <c r="AD9" s="419"/>
      <c r="AE9" s="408"/>
      <c r="AF9" s="348"/>
      <c r="AG9" s="1028" t="s">
        <v>216</v>
      </c>
      <c r="AH9" s="1029"/>
      <c r="AI9" s="1029"/>
      <c r="AJ9" s="1029"/>
      <c r="AK9" s="1029"/>
      <c r="AL9" s="1029"/>
      <c r="AM9" s="1029"/>
      <c r="AN9" s="1029"/>
      <c r="AO9" s="1029"/>
      <c r="AP9" s="1029"/>
      <c r="AQ9" s="1029"/>
      <c r="AR9" s="1029"/>
      <c r="AS9" s="1029"/>
      <c r="AT9" s="1029"/>
      <c r="AU9" s="1029"/>
      <c r="AV9" s="1029"/>
      <c r="AW9" s="1029"/>
      <c r="AX9" s="1029"/>
      <c r="AY9" s="1029"/>
      <c r="AZ9" s="1185"/>
      <c r="BA9" s="357">
        <f>IF(E9&gt;F9,"ERROR INPUT","")</f>
      </c>
      <c r="BF9">
        <v>4</v>
      </c>
      <c r="BG9" s="358">
        <f t="shared" si="2"/>
        <v>1.5</v>
      </c>
      <c r="BH9">
        <f t="shared" si="3"/>
        <v>6</v>
      </c>
      <c r="BI9" s="358">
        <f t="shared" si="4"/>
        <v>0</v>
      </c>
    </row>
    <row r="10" spans="1:61" ht="37.5" customHeight="1" thickBot="1">
      <c r="A10" s="1113"/>
      <c r="B10" s="1112"/>
      <c r="C10" s="1052"/>
      <c r="D10" s="300" t="s">
        <v>156</v>
      </c>
      <c r="E10" s="1189"/>
      <c r="F10" s="1027"/>
      <c r="G10" s="43">
        <f>+E10</f>
        <v>0</v>
      </c>
      <c r="H10" s="126">
        <f>IF(H7="","",IF(G10="",0,SUM(K10:O10)))</f>
      </c>
      <c r="I10" s="1188"/>
      <c r="J10" s="145">
        <f>IF(H10="","",+H10*I9*Z10)</f>
      </c>
      <c r="K10" s="73">
        <f>IF(OR(E10="",E10="NO"),$K$5,"")</f>
        <v>0</v>
      </c>
      <c r="L10" s="73">
        <f t="shared" si="6"/>
      </c>
      <c r="M10" s="73">
        <f t="shared" si="7"/>
      </c>
      <c r="N10" s="73">
        <f t="shared" si="8"/>
      </c>
      <c r="O10" s="73">
        <f>IF(E10="YES",$O$5,"")</f>
      </c>
      <c r="P10" s="5"/>
      <c r="Q10" s="5"/>
      <c r="R10" s="16"/>
      <c r="S10" s="16"/>
      <c r="T10" s="5"/>
      <c r="U10" s="5"/>
      <c r="V10" s="5"/>
      <c r="W10" s="5"/>
      <c r="X10" s="5"/>
      <c r="Y10" s="5"/>
      <c r="Z10" s="255">
        <f t="shared" si="1"/>
        <v>0</v>
      </c>
      <c r="AA10" s="446"/>
      <c r="AB10" s="447" t="s">
        <v>220</v>
      </c>
      <c r="AC10" s="420"/>
      <c r="AD10" s="407"/>
      <c r="AE10" s="408"/>
      <c r="AF10" s="348"/>
      <c r="AG10" s="1028" t="s">
        <v>216</v>
      </c>
      <c r="AH10" s="1029"/>
      <c r="AI10" s="1029"/>
      <c r="AJ10" s="1029"/>
      <c r="AK10" s="1029"/>
      <c r="AL10" s="1029"/>
      <c r="AM10" s="1029"/>
      <c r="AN10" s="1029"/>
      <c r="AO10" s="1029"/>
      <c r="AP10" s="1029"/>
      <c r="AQ10" s="1029"/>
      <c r="AR10" s="1029"/>
      <c r="AS10" s="1029"/>
      <c r="AT10" s="1029"/>
      <c r="AU10" s="1029"/>
      <c r="AV10" s="1029"/>
      <c r="AW10" s="1029"/>
      <c r="AX10" s="1029"/>
      <c r="AY10" s="1029"/>
      <c r="AZ10" s="1185"/>
      <c r="BA10" s="356"/>
      <c r="BF10">
        <v>4</v>
      </c>
      <c r="BG10" s="358">
        <f t="shared" si="2"/>
        <v>0</v>
      </c>
      <c r="BH10">
        <f t="shared" si="3"/>
        <v>0</v>
      </c>
      <c r="BI10" s="358">
        <f t="shared" si="4"/>
        <v>0</v>
      </c>
    </row>
    <row r="11" spans="1:61" ht="37.5" customHeight="1" thickBot="1">
      <c r="A11" s="1113"/>
      <c r="B11" s="1112"/>
      <c r="C11" s="663">
        <f>1+C9</f>
        <v>4</v>
      </c>
      <c r="D11" s="300" t="s">
        <v>31</v>
      </c>
      <c r="E11" s="388"/>
      <c r="F11" s="206">
        <f aca="true" t="shared" si="9" ref="F11:F19">+$E$7</f>
        <v>0</v>
      </c>
      <c r="G11" s="161">
        <f aca="true" t="shared" si="10" ref="G11:G19">IF(E11="","",ROUND(E11/F11,4))</f>
      </c>
      <c r="H11" s="126">
        <f aca="true" t="shared" si="11" ref="H11:H19">IF(OR(E11="",F11="",F11=0),"",SUM(K11:O11))</f>
      </c>
      <c r="I11" s="678">
        <v>1</v>
      </c>
      <c r="J11" s="145">
        <f aca="true" t="shared" si="12" ref="J11:J74">IF(H11="","",+H11*I11*Z11)</f>
      </c>
      <c r="K11" s="72">
        <f aca="true" t="shared" si="13" ref="K11:K19">IF($G11&lt;$R11%,$K$5,"")</f>
      </c>
      <c r="L11" s="72">
        <f t="shared" si="6"/>
      </c>
      <c r="M11" s="72">
        <f t="shared" si="7"/>
      </c>
      <c r="N11" s="72">
        <f t="shared" si="8"/>
      </c>
      <c r="O11" s="72">
        <f aca="true" t="shared" si="14" ref="O11:O19">IF(AND($G11&lt;Y11%,G11&gt;W11%),$O$5,"")</f>
      </c>
      <c r="P11" s="5">
        <v>0</v>
      </c>
      <c r="Q11" s="5">
        <v>0</v>
      </c>
      <c r="R11" s="5">
        <v>0.0009</v>
      </c>
      <c r="S11" s="5">
        <v>9.9999</v>
      </c>
      <c r="T11" s="5">
        <v>10</v>
      </c>
      <c r="U11" s="5">
        <v>19.999</v>
      </c>
      <c r="V11" s="5">
        <v>20</v>
      </c>
      <c r="W11" s="5">
        <v>29.999</v>
      </c>
      <c r="X11" s="5">
        <v>30</v>
      </c>
      <c r="Y11" s="76">
        <v>10000</v>
      </c>
      <c r="Z11" s="255">
        <f t="shared" si="1"/>
        <v>0</v>
      </c>
      <c r="AA11" s="446"/>
      <c r="AB11" s="447" t="s">
        <v>220</v>
      </c>
      <c r="AC11" s="420"/>
      <c r="AD11" s="407"/>
      <c r="AE11" s="408"/>
      <c r="AF11" s="348"/>
      <c r="AG11" s="1028" t="s">
        <v>216</v>
      </c>
      <c r="AH11" s="1029"/>
      <c r="AI11" s="1029"/>
      <c r="AJ11" s="1029"/>
      <c r="AK11" s="1029"/>
      <c r="AL11" s="1029"/>
      <c r="AM11" s="1029"/>
      <c r="AN11" s="1029"/>
      <c r="AO11" s="1029"/>
      <c r="AP11" s="1029"/>
      <c r="AQ11" s="1029"/>
      <c r="AR11" s="1029"/>
      <c r="AS11" s="1029"/>
      <c r="AT11" s="1029"/>
      <c r="AU11" s="1029"/>
      <c r="AV11" s="1029"/>
      <c r="AW11" s="1029"/>
      <c r="AX11" s="1029"/>
      <c r="AY11" s="1029"/>
      <c r="AZ11" s="1185"/>
      <c r="BA11" s="357">
        <f aca="true" t="shared" si="15" ref="BA11:BA19">IF(E11&gt;F11,"ERROR INPUT","")</f>
      </c>
      <c r="BF11">
        <v>4</v>
      </c>
      <c r="BG11" s="358">
        <f t="shared" si="2"/>
        <v>1</v>
      </c>
      <c r="BH11">
        <f t="shared" si="3"/>
        <v>4</v>
      </c>
      <c r="BI11" s="358">
        <f t="shared" si="4"/>
        <v>0</v>
      </c>
    </row>
    <row r="12" spans="1:61" ht="37.5" customHeight="1" thickBot="1">
      <c r="A12" s="1113"/>
      <c r="B12" s="1112"/>
      <c r="C12" s="663">
        <f t="shared" si="5"/>
        <v>5</v>
      </c>
      <c r="D12" s="300" t="s">
        <v>32</v>
      </c>
      <c r="E12" s="649"/>
      <c r="F12" s="206">
        <f t="shared" si="9"/>
        <v>0</v>
      </c>
      <c r="G12" s="161">
        <f t="shared" si="10"/>
      </c>
      <c r="H12" s="126">
        <f t="shared" si="11"/>
      </c>
      <c r="I12" s="678">
        <v>1</v>
      </c>
      <c r="J12" s="145">
        <f t="shared" si="12"/>
      </c>
      <c r="K12" s="72">
        <f t="shared" si="13"/>
      </c>
      <c r="L12" s="72">
        <f t="shared" si="6"/>
      </c>
      <c r="M12" s="72">
        <f t="shared" si="7"/>
      </c>
      <c r="N12" s="72">
        <f t="shared" si="8"/>
      </c>
      <c r="O12" s="72">
        <f t="shared" si="14"/>
      </c>
      <c r="P12" s="5">
        <v>0</v>
      </c>
      <c r="Q12" s="5">
        <v>0</v>
      </c>
      <c r="R12" s="5">
        <v>0.0009</v>
      </c>
      <c r="S12" s="5">
        <v>9.9999</v>
      </c>
      <c r="T12" s="5">
        <v>10</v>
      </c>
      <c r="U12" s="5">
        <v>19.999</v>
      </c>
      <c r="V12" s="5">
        <v>20</v>
      </c>
      <c r="W12" s="5">
        <v>29.999</v>
      </c>
      <c r="X12" s="5">
        <v>30</v>
      </c>
      <c r="Y12" s="76">
        <v>10000</v>
      </c>
      <c r="Z12" s="255">
        <f t="shared" si="1"/>
        <v>0</v>
      </c>
      <c r="AA12" s="446"/>
      <c r="AB12" s="447" t="s">
        <v>220</v>
      </c>
      <c r="AC12" s="420"/>
      <c r="AD12" s="407">
        <f aca="true" t="shared" si="16" ref="AD12:AD19">IF(+$AD$11&lt;&gt;"",+$AD$11,"")</f>
      </c>
      <c r="AE12" s="408"/>
      <c r="AF12" s="348"/>
      <c r="AG12" s="1028" t="s">
        <v>216</v>
      </c>
      <c r="AH12" s="1029"/>
      <c r="AI12" s="1029"/>
      <c r="AJ12" s="1029"/>
      <c r="AK12" s="1029"/>
      <c r="AL12" s="1029"/>
      <c r="AM12" s="1029"/>
      <c r="AN12" s="1029"/>
      <c r="AO12" s="1029"/>
      <c r="AP12" s="1029"/>
      <c r="AQ12" s="1029"/>
      <c r="AR12" s="1029"/>
      <c r="AS12" s="1029"/>
      <c r="AT12" s="1029"/>
      <c r="AU12" s="1029"/>
      <c r="AV12" s="1029"/>
      <c r="AW12" s="1029"/>
      <c r="AX12" s="1029"/>
      <c r="AY12" s="1029"/>
      <c r="AZ12" s="1185"/>
      <c r="BA12" s="357">
        <f t="shared" si="15"/>
      </c>
      <c r="BF12">
        <v>4</v>
      </c>
      <c r="BG12" s="358">
        <f t="shared" si="2"/>
        <v>1</v>
      </c>
      <c r="BH12">
        <f t="shared" si="3"/>
        <v>4</v>
      </c>
      <c r="BI12" s="358">
        <f t="shared" si="4"/>
        <v>0</v>
      </c>
    </row>
    <row r="13" spans="1:61" ht="37.5" customHeight="1" thickBot="1">
      <c r="A13" s="1113"/>
      <c r="B13" s="1112"/>
      <c r="C13" s="663">
        <f t="shared" si="5"/>
        <v>6</v>
      </c>
      <c r="D13" s="300" t="s">
        <v>33</v>
      </c>
      <c r="E13" s="649"/>
      <c r="F13" s="206">
        <f t="shared" si="9"/>
        <v>0</v>
      </c>
      <c r="G13" s="161">
        <f t="shared" si="10"/>
      </c>
      <c r="H13" s="126">
        <f t="shared" si="11"/>
      </c>
      <c r="I13" s="678">
        <v>1</v>
      </c>
      <c r="J13" s="145">
        <f t="shared" si="12"/>
      </c>
      <c r="K13" s="72">
        <f t="shared" si="13"/>
      </c>
      <c r="L13" s="72">
        <f t="shared" si="6"/>
      </c>
      <c r="M13" s="72">
        <f t="shared" si="7"/>
      </c>
      <c r="N13" s="72">
        <f t="shared" si="8"/>
      </c>
      <c r="O13" s="72">
        <f t="shared" si="14"/>
      </c>
      <c r="P13" s="5">
        <v>0</v>
      </c>
      <c r="Q13" s="5">
        <v>0</v>
      </c>
      <c r="R13" s="5">
        <v>0.0009</v>
      </c>
      <c r="S13" s="5">
        <v>14.999</v>
      </c>
      <c r="T13" s="5">
        <v>15</v>
      </c>
      <c r="U13" s="5">
        <v>29.999</v>
      </c>
      <c r="V13" s="5">
        <v>30</v>
      </c>
      <c r="W13" s="5">
        <v>44.999</v>
      </c>
      <c r="X13" s="5">
        <v>45</v>
      </c>
      <c r="Y13" s="76">
        <v>10000</v>
      </c>
      <c r="Z13" s="255">
        <f t="shared" si="1"/>
        <v>0</v>
      </c>
      <c r="AA13" s="446"/>
      <c r="AB13" s="447" t="s">
        <v>220</v>
      </c>
      <c r="AC13" s="420"/>
      <c r="AD13" s="407">
        <f t="shared" si="16"/>
      </c>
      <c r="AE13" s="408"/>
      <c r="AF13" s="348"/>
      <c r="AG13" s="1028" t="s">
        <v>216</v>
      </c>
      <c r="AH13" s="1029"/>
      <c r="AI13" s="1029"/>
      <c r="AJ13" s="1029"/>
      <c r="AK13" s="1029"/>
      <c r="AL13" s="1029"/>
      <c r="AM13" s="1029"/>
      <c r="AN13" s="1029"/>
      <c r="AO13" s="1029"/>
      <c r="AP13" s="1029"/>
      <c r="AQ13" s="1029"/>
      <c r="AR13" s="1029"/>
      <c r="AS13" s="1029"/>
      <c r="AT13" s="1029"/>
      <c r="AU13" s="1029"/>
      <c r="AV13" s="1029"/>
      <c r="AW13" s="1029"/>
      <c r="AX13" s="1029"/>
      <c r="AY13" s="1029"/>
      <c r="AZ13" s="1185"/>
      <c r="BA13" s="357">
        <f t="shared" si="15"/>
      </c>
      <c r="BF13">
        <v>4</v>
      </c>
      <c r="BG13" s="358">
        <f t="shared" si="2"/>
        <v>1</v>
      </c>
      <c r="BH13">
        <f t="shared" si="3"/>
        <v>4</v>
      </c>
      <c r="BI13" s="358">
        <f t="shared" si="4"/>
        <v>0</v>
      </c>
    </row>
    <row r="14" spans="1:61" ht="37.5" customHeight="1" thickBot="1">
      <c r="A14" s="1113"/>
      <c r="B14" s="1112"/>
      <c r="C14" s="663">
        <f t="shared" si="5"/>
        <v>7</v>
      </c>
      <c r="D14" s="300" t="s">
        <v>34</v>
      </c>
      <c r="E14" s="649"/>
      <c r="F14" s="206">
        <f t="shared" si="9"/>
        <v>0</v>
      </c>
      <c r="G14" s="161">
        <f t="shared" si="10"/>
      </c>
      <c r="H14" s="126">
        <f t="shared" si="11"/>
      </c>
      <c r="I14" s="678">
        <v>1</v>
      </c>
      <c r="J14" s="145">
        <f t="shared" si="12"/>
      </c>
      <c r="K14" s="72">
        <f t="shared" si="13"/>
      </c>
      <c r="L14" s="72">
        <f t="shared" si="6"/>
      </c>
      <c r="M14" s="72">
        <f t="shared" si="7"/>
      </c>
      <c r="N14" s="72">
        <f t="shared" si="8"/>
      </c>
      <c r="O14" s="72">
        <f t="shared" si="14"/>
      </c>
      <c r="P14" s="5">
        <v>0</v>
      </c>
      <c r="Q14" s="5">
        <v>0</v>
      </c>
      <c r="R14" s="5">
        <v>0.0009</v>
      </c>
      <c r="S14" s="5">
        <v>1.999</v>
      </c>
      <c r="T14" s="5">
        <v>2</v>
      </c>
      <c r="U14" s="5">
        <v>3.999</v>
      </c>
      <c r="V14" s="5">
        <v>4</v>
      </c>
      <c r="W14" s="5">
        <v>5.999</v>
      </c>
      <c r="X14" s="5">
        <v>6</v>
      </c>
      <c r="Y14" s="76">
        <v>10000</v>
      </c>
      <c r="Z14" s="255">
        <f t="shared" si="1"/>
        <v>0</v>
      </c>
      <c r="AA14" s="446"/>
      <c r="AB14" s="447" t="s">
        <v>220</v>
      </c>
      <c r="AC14" s="420"/>
      <c r="AD14" s="407">
        <f t="shared" si="16"/>
      </c>
      <c r="AE14" s="408"/>
      <c r="AF14" s="348"/>
      <c r="AG14" s="1028" t="s">
        <v>213</v>
      </c>
      <c r="AH14" s="1029"/>
      <c r="AI14" s="1029"/>
      <c r="AJ14" s="1029"/>
      <c r="AK14" s="1029"/>
      <c r="AL14" s="1029"/>
      <c r="AM14" s="1029"/>
      <c r="AN14" s="1029"/>
      <c r="AO14" s="1029"/>
      <c r="AP14" s="1029"/>
      <c r="AQ14" s="1029"/>
      <c r="AR14" s="1029"/>
      <c r="AS14" s="1029"/>
      <c r="AT14" s="1029"/>
      <c r="AU14" s="1029"/>
      <c r="AV14" s="1029"/>
      <c r="AW14" s="1029"/>
      <c r="AX14" s="1029"/>
      <c r="AY14" s="1029"/>
      <c r="AZ14" s="1185"/>
      <c r="BA14" s="357">
        <f t="shared" si="15"/>
      </c>
      <c r="BF14">
        <v>4</v>
      </c>
      <c r="BG14" s="358">
        <f t="shared" si="2"/>
        <v>1</v>
      </c>
      <c r="BH14">
        <f t="shared" si="3"/>
        <v>4</v>
      </c>
      <c r="BI14" s="358">
        <f t="shared" si="4"/>
        <v>0</v>
      </c>
    </row>
    <row r="15" spans="1:61" ht="37.5" customHeight="1" thickBot="1">
      <c r="A15" s="1113"/>
      <c r="B15" s="1112"/>
      <c r="C15" s="663">
        <f t="shared" si="5"/>
        <v>8</v>
      </c>
      <c r="D15" s="300" t="s">
        <v>35</v>
      </c>
      <c r="E15" s="649"/>
      <c r="F15" s="206">
        <f t="shared" si="9"/>
        <v>0</v>
      </c>
      <c r="G15" s="161">
        <f t="shared" si="10"/>
      </c>
      <c r="H15" s="126">
        <f t="shared" si="11"/>
      </c>
      <c r="I15" s="678">
        <v>1</v>
      </c>
      <c r="J15" s="145">
        <f t="shared" si="12"/>
      </c>
      <c r="K15" s="72">
        <f t="shared" si="13"/>
      </c>
      <c r="L15" s="72">
        <f t="shared" si="6"/>
      </c>
      <c r="M15" s="72">
        <f t="shared" si="7"/>
      </c>
      <c r="N15" s="72">
        <f t="shared" si="8"/>
      </c>
      <c r="O15" s="72">
        <f t="shared" si="14"/>
      </c>
      <c r="P15" s="5">
        <v>0</v>
      </c>
      <c r="Q15" s="5">
        <v>0</v>
      </c>
      <c r="R15" s="5">
        <v>0.0009</v>
      </c>
      <c r="S15" s="5">
        <v>1.999</v>
      </c>
      <c r="T15" s="5">
        <v>2</v>
      </c>
      <c r="U15" s="5">
        <v>3.999</v>
      </c>
      <c r="V15" s="5">
        <v>4</v>
      </c>
      <c r="W15" s="5">
        <v>5.999</v>
      </c>
      <c r="X15" s="5">
        <v>6</v>
      </c>
      <c r="Y15" s="76">
        <v>10000</v>
      </c>
      <c r="Z15" s="255">
        <f t="shared" si="1"/>
        <v>0</v>
      </c>
      <c r="AA15" s="446"/>
      <c r="AB15" s="447" t="s">
        <v>220</v>
      </c>
      <c r="AC15" s="420"/>
      <c r="AD15" s="407">
        <f t="shared" si="16"/>
      </c>
      <c r="AE15" s="408"/>
      <c r="AF15" s="348"/>
      <c r="AG15" s="1028" t="s">
        <v>213</v>
      </c>
      <c r="AH15" s="1029"/>
      <c r="AI15" s="1029"/>
      <c r="AJ15" s="1029"/>
      <c r="AK15" s="1029"/>
      <c r="AL15" s="1029"/>
      <c r="AM15" s="1029"/>
      <c r="AN15" s="1029"/>
      <c r="AO15" s="1029"/>
      <c r="AP15" s="1029"/>
      <c r="AQ15" s="1029"/>
      <c r="AR15" s="1029"/>
      <c r="AS15" s="1029"/>
      <c r="AT15" s="1029"/>
      <c r="AU15" s="1029"/>
      <c r="AV15" s="1029"/>
      <c r="AW15" s="1029"/>
      <c r="AX15" s="1029"/>
      <c r="AY15" s="1029"/>
      <c r="AZ15" s="1185"/>
      <c r="BA15" s="357">
        <f t="shared" si="15"/>
      </c>
      <c r="BF15">
        <v>4</v>
      </c>
      <c r="BG15" s="358">
        <f t="shared" si="2"/>
        <v>1</v>
      </c>
      <c r="BH15">
        <f t="shared" si="3"/>
        <v>4</v>
      </c>
      <c r="BI15" s="358">
        <f t="shared" si="4"/>
        <v>0</v>
      </c>
    </row>
    <row r="16" spans="1:61" ht="37.5" customHeight="1" thickBot="1">
      <c r="A16" s="1113"/>
      <c r="B16" s="1112"/>
      <c r="C16" s="663">
        <f t="shared" si="5"/>
        <v>9</v>
      </c>
      <c r="D16" s="300" t="s">
        <v>36</v>
      </c>
      <c r="E16" s="649"/>
      <c r="F16" s="206">
        <f t="shared" si="9"/>
        <v>0</v>
      </c>
      <c r="G16" s="161">
        <f t="shared" si="10"/>
      </c>
      <c r="H16" s="126">
        <f t="shared" si="11"/>
      </c>
      <c r="I16" s="678">
        <v>1</v>
      </c>
      <c r="J16" s="145">
        <f t="shared" si="12"/>
      </c>
      <c r="K16" s="72">
        <f t="shared" si="13"/>
      </c>
      <c r="L16" s="72">
        <f t="shared" si="6"/>
      </c>
      <c r="M16" s="72">
        <f t="shared" si="7"/>
      </c>
      <c r="N16" s="72">
        <f t="shared" si="8"/>
      </c>
      <c r="O16" s="72">
        <f t="shared" si="14"/>
      </c>
      <c r="P16" s="5">
        <v>0</v>
      </c>
      <c r="Q16" s="5">
        <v>0</v>
      </c>
      <c r="R16" s="5">
        <v>0.0009</v>
      </c>
      <c r="S16" s="5">
        <v>0.999</v>
      </c>
      <c r="T16" s="5">
        <v>1</v>
      </c>
      <c r="U16" s="5">
        <v>1.999</v>
      </c>
      <c r="V16" s="5">
        <v>2</v>
      </c>
      <c r="W16" s="5">
        <v>2.999</v>
      </c>
      <c r="X16" s="5">
        <v>3</v>
      </c>
      <c r="Y16" s="76">
        <v>10000</v>
      </c>
      <c r="Z16" s="255">
        <f t="shared" si="1"/>
        <v>0</v>
      </c>
      <c r="AA16" s="446"/>
      <c r="AB16" s="447" t="s">
        <v>220</v>
      </c>
      <c r="AC16" s="420"/>
      <c r="AD16" s="407">
        <f t="shared" si="16"/>
      </c>
      <c r="AE16" s="408"/>
      <c r="AF16" s="348"/>
      <c r="AG16" s="1028" t="s">
        <v>216</v>
      </c>
      <c r="AH16" s="1029"/>
      <c r="AI16" s="1029"/>
      <c r="AJ16" s="1029"/>
      <c r="AK16" s="1029"/>
      <c r="AL16" s="1029"/>
      <c r="AM16" s="1029"/>
      <c r="AN16" s="1029"/>
      <c r="AO16" s="1029"/>
      <c r="AP16" s="1029"/>
      <c r="AQ16" s="1029"/>
      <c r="AR16" s="1029"/>
      <c r="AS16" s="1029"/>
      <c r="AT16" s="1029"/>
      <c r="AU16" s="1029"/>
      <c r="AV16" s="1029"/>
      <c r="AW16" s="1029"/>
      <c r="AX16" s="1029"/>
      <c r="AY16" s="1029"/>
      <c r="AZ16" s="1185"/>
      <c r="BA16" s="357">
        <f t="shared" si="15"/>
      </c>
      <c r="BF16">
        <v>4</v>
      </c>
      <c r="BG16" s="358">
        <f t="shared" si="2"/>
        <v>1</v>
      </c>
      <c r="BH16">
        <f t="shared" si="3"/>
        <v>4</v>
      </c>
      <c r="BI16" s="358">
        <f t="shared" si="4"/>
        <v>0</v>
      </c>
    </row>
    <row r="17" spans="1:61" ht="37.5" customHeight="1" thickBot="1">
      <c r="A17" s="1113"/>
      <c r="B17" s="1112"/>
      <c r="C17" s="663">
        <f t="shared" si="5"/>
        <v>10</v>
      </c>
      <c r="D17" s="300" t="s">
        <v>37</v>
      </c>
      <c r="E17" s="649"/>
      <c r="F17" s="206">
        <f t="shared" si="9"/>
        <v>0</v>
      </c>
      <c r="G17" s="161">
        <f t="shared" si="10"/>
      </c>
      <c r="H17" s="126">
        <f t="shared" si="11"/>
      </c>
      <c r="I17" s="678">
        <v>0.5</v>
      </c>
      <c r="J17" s="145">
        <f t="shared" si="12"/>
      </c>
      <c r="K17" s="72">
        <f t="shared" si="13"/>
      </c>
      <c r="L17" s="72">
        <f t="shared" si="6"/>
      </c>
      <c r="M17" s="72">
        <f t="shared" si="7"/>
      </c>
      <c r="N17" s="72">
        <f t="shared" si="8"/>
      </c>
      <c r="O17" s="72">
        <f t="shared" si="14"/>
      </c>
      <c r="P17" s="5">
        <v>0</v>
      </c>
      <c r="Q17" s="5">
        <v>0</v>
      </c>
      <c r="R17" s="5">
        <v>0.0009</v>
      </c>
      <c r="S17" s="5">
        <v>1.999</v>
      </c>
      <c r="T17" s="5">
        <v>2</v>
      </c>
      <c r="U17" s="5">
        <v>3.999</v>
      </c>
      <c r="V17" s="5">
        <v>4</v>
      </c>
      <c r="W17" s="5">
        <v>5.999</v>
      </c>
      <c r="X17" s="5">
        <v>6</v>
      </c>
      <c r="Y17" s="76">
        <v>10000</v>
      </c>
      <c r="Z17" s="255">
        <f t="shared" si="1"/>
        <v>0</v>
      </c>
      <c r="AA17" s="446"/>
      <c r="AB17" s="447" t="s">
        <v>220</v>
      </c>
      <c r="AC17" s="420"/>
      <c r="AD17" s="407">
        <f t="shared" si="16"/>
      </c>
      <c r="AE17" s="408"/>
      <c r="AF17" s="348"/>
      <c r="AG17" s="1028" t="s">
        <v>213</v>
      </c>
      <c r="AH17" s="1029"/>
      <c r="AI17" s="1029"/>
      <c r="AJ17" s="1029"/>
      <c r="AK17" s="1029"/>
      <c r="AL17" s="1029"/>
      <c r="AM17" s="1029"/>
      <c r="AN17" s="1029"/>
      <c r="AO17" s="1029"/>
      <c r="AP17" s="1029"/>
      <c r="AQ17" s="1029"/>
      <c r="AR17" s="1029"/>
      <c r="AS17" s="1029"/>
      <c r="AT17" s="1029"/>
      <c r="AU17" s="1029"/>
      <c r="AV17" s="1029"/>
      <c r="AW17" s="1029"/>
      <c r="AX17" s="1029"/>
      <c r="AY17" s="1029"/>
      <c r="AZ17" s="1185"/>
      <c r="BA17" s="357">
        <f t="shared" si="15"/>
      </c>
      <c r="BF17">
        <v>4</v>
      </c>
      <c r="BG17" s="358">
        <f t="shared" si="2"/>
        <v>0.5</v>
      </c>
      <c r="BH17">
        <f t="shared" si="3"/>
        <v>2</v>
      </c>
      <c r="BI17" s="358">
        <f t="shared" si="4"/>
        <v>0</v>
      </c>
    </row>
    <row r="18" spans="1:61" ht="37.5" customHeight="1" thickBot="1">
      <c r="A18" s="1113" t="s">
        <v>6</v>
      </c>
      <c r="B18" s="1112" t="s">
        <v>8</v>
      </c>
      <c r="C18" s="663">
        <f t="shared" si="5"/>
        <v>11</v>
      </c>
      <c r="D18" s="300" t="s">
        <v>38</v>
      </c>
      <c r="E18" s="649"/>
      <c r="F18" s="206">
        <f t="shared" si="9"/>
        <v>0</v>
      </c>
      <c r="G18" s="161">
        <f t="shared" si="10"/>
      </c>
      <c r="H18" s="126">
        <f t="shared" si="11"/>
      </c>
      <c r="I18" s="678">
        <v>0.5</v>
      </c>
      <c r="J18" s="145">
        <f t="shared" si="12"/>
      </c>
      <c r="K18" s="72">
        <f t="shared" si="13"/>
      </c>
      <c r="L18" s="72">
        <f t="shared" si="6"/>
      </c>
      <c r="M18" s="72">
        <f t="shared" si="7"/>
      </c>
      <c r="N18" s="72">
        <f t="shared" si="8"/>
      </c>
      <c r="O18" s="72">
        <f t="shared" si="14"/>
      </c>
      <c r="P18" s="5">
        <v>0</v>
      </c>
      <c r="Q18" s="5">
        <v>0</v>
      </c>
      <c r="R18" s="5">
        <v>0.0009</v>
      </c>
      <c r="S18" s="5">
        <v>9.9999</v>
      </c>
      <c r="T18" s="5">
        <v>10</v>
      </c>
      <c r="U18" s="5">
        <v>19.999</v>
      </c>
      <c r="V18" s="5">
        <v>20</v>
      </c>
      <c r="W18" s="5">
        <v>29.999</v>
      </c>
      <c r="X18" s="5">
        <v>30</v>
      </c>
      <c r="Y18" s="76">
        <v>10000</v>
      </c>
      <c r="Z18" s="255">
        <f t="shared" si="1"/>
        <v>0</v>
      </c>
      <c r="AA18" s="446"/>
      <c r="AB18" s="447" t="s">
        <v>220</v>
      </c>
      <c r="AC18" s="420"/>
      <c r="AD18" s="407">
        <f t="shared" si="16"/>
      </c>
      <c r="AE18" s="408"/>
      <c r="AF18" s="348"/>
      <c r="AG18" s="1028" t="s">
        <v>213</v>
      </c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  <c r="AR18" s="1029"/>
      <c r="AS18" s="1029"/>
      <c r="AT18" s="1029"/>
      <c r="AU18" s="1029"/>
      <c r="AV18" s="1029"/>
      <c r="AW18" s="1029"/>
      <c r="AX18" s="1029"/>
      <c r="AY18" s="1029"/>
      <c r="AZ18" s="1185"/>
      <c r="BA18" s="357">
        <f t="shared" si="15"/>
      </c>
      <c r="BF18">
        <v>4</v>
      </c>
      <c r="BG18" s="358">
        <f t="shared" si="2"/>
        <v>0.5</v>
      </c>
      <c r="BH18">
        <f t="shared" si="3"/>
        <v>2</v>
      </c>
      <c r="BI18" s="358">
        <f t="shared" si="4"/>
        <v>0</v>
      </c>
    </row>
    <row r="19" spans="1:63" ht="37.5" customHeight="1" thickBot="1">
      <c r="A19" s="1113"/>
      <c r="B19" s="1112"/>
      <c r="C19" s="663">
        <f t="shared" si="5"/>
        <v>12</v>
      </c>
      <c r="D19" s="300" t="s">
        <v>39</v>
      </c>
      <c r="E19" s="649"/>
      <c r="F19" s="206">
        <f t="shared" si="9"/>
        <v>0</v>
      </c>
      <c r="G19" s="161">
        <f t="shared" si="10"/>
      </c>
      <c r="H19" s="126">
        <f t="shared" si="11"/>
      </c>
      <c r="I19" s="678">
        <v>0.5</v>
      </c>
      <c r="J19" s="145">
        <f t="shared" si="12"/>
      </c>
      <c r="K19" s="72">
        <f t="shared" si="13"/>
      </c>
      <c r="L19" s="72">
        <f t="shared" si="6"/>
      </c>
      <c r="M19" s="72">
        <f t="shared" si="7"/>
      </c>
      <c r="N19" s="72">
        <f t="shared" si="8"/>
      </c>
      <c r="O19" s="72">
        <f t="shared" si="14"/>
      </c>
      <c r="P19" s="5">
        <v>0</v>
      </c>
      <c r="Q19" s="5">
        <v>0</v>
      </c>
      <c r="R19" s="5">
        <v>0.0009</v>
      </c>
      <c r="S19" s="5">
        <v>0.099</v>
      </c>
      <c r="T19" s="5">
        <v>0.1</v>
      </c>
      <c r="U19" s="5">
        <v>0.1999</v>
      </c>
      <c r="V19" s="5">
        <v>0.2</v>
      </c>
      <c r="W19" s="5">
        <v>0.2999</v>
      </c>
      <c r="X19" s="5">
        <v>0.3</v>
      </c>
      <c r="Y19" s="76">
        <v>10000</v>
      </c>
      <c r="Z19" s="255">
        <f t="shared" si="1"/>
        <v>0</v>
      </c>
      <c r="AA19" s="448"/>
      <c r="AB19" s="449" t="s">
        <v>220</v>
      </c>
      <c r="AC19" s="450"/>
      <c r="AD19" s="407">
        <f t="shared" si="16"/>
      </c>
      <c r="AE19" s="408"/>
      <c r="AF19" s="348"/>
      <c r="AG19" s="1028" t="s">
        <v>251</v>
      </c>
      <c r="AH19" s="1029"/>
      <c r="AI19" s="1029"/>
      <c r="AJ19" s="1029"/>
      <c r="AK19" s="1029"/>
      <c r="AL19" s="1029"/>
      <c r="AM19" s="1029"/>
      <c r="AN19" s="1029"/>
      <c r="AO19" s="1029"/>
      <c r="AP19" s="1029"/>
      <c r="AQ19" s="1029"/>
      <c r="AR19" s="1029"/>
      <c r="AS19" s="1029"/>
      <c r="AT19" s="1029"/>
      <c r="AU19" s="1029"/>
      <c r="AV19" s="1029"/>
      <c r="AW19" s="1029"/>
      <c r="AX19" s="1029"/>
      <c r="AY19" s="1029"/>
      <c r="AZ19" s="1185"/>
      <c r="BA19" s="357">
        <f t="shared" si="15"/>
      </c>
      <c r="BF19">
        <v>4</v>
      </c>
      <c r="BG19" s="358">
        <f t="shared" si="2"/>
        <v>0.5</v>
      </c>
      <c r="BH19">
        <f t="shared" si="3"/>
        <v>2</v>
      </c>
      <c r="BI19" s="358">
        <f t="shared" si="4"/>
        <v>0</v>
      </c>
      <c r="BJ19" s="358">
        <f>SUM(BH9:BH19)</f>
        <v>36</v>
      </c>
      <c r="BK19" s="358">
        <f>SUM(BI9:BI19)</f>
        <v>0</v>
      </c>
    </row>
    <row r="20" spans="1:61" ht="37.5" customHeight="1" thickBot="1">
      <c r="A20" s="1113"/>
      <c r="B20" s="1026" t="s">
        <v>9</v>
      </c>
      <c r="C20" s="315">
        <f t="shared" si="5"/>
        <v>13</v>
      </c>
      <c r="D20" s="301" t="s">
        <v>40</v>
      </c>
      <c r="E20" s="1186"/>
      <c r="F20" s="1014"/>
      <c r="G20" s="42">
        <f>+E20</f>
        <v>0</v>
      </c>
      <c r="H20" s="127">
        <f>IF(E20="","",SUM(K20:O20))</f>
      </c>
      <c r="I20" s="679">
        <v>1</v>
      </c>
      <c r="J20" s="146">
        <f t="shared" si="12"/>
      </c>
      <c r="K20" s="48">
        <f>IF($E20&lt;$R20,$K$5,"")</f>
        <v>0</v>
      </c>
      <c r="L20" s="48">
        <f>IF(AND($E20&lt;$T20,$E20&gt;$Q20),$L$5,"")</f>
      </c>
      <c r="M20" s="48">
        <f>IF(AND($E20&lt;$V20,$E20&gt;$S20),$M$5,"")</f>
      </c>
      <c r="N20" s="48">
        <f>IF(AND($E20&lt;$X20,$E20&gt;$U20),$N$5,"")</f>
      </c>
      <c r="O20" s="48">
        <f>IF(AND($E20&lt;Y20,E20&gt;W20),$O$5,"")</f>
      </c>
      <c r="P20" s="6">
        <v>0</v>
      </c>
      <c r="Q20" s="6">
        <v>0.999</v>
      </c>
      <c r="R20" s="6">
        <v>1</v>
      </c>
      <c r="S20" s="6">
        <v>1.999</v>
      </c>
      <c r="T20" s="6">
        <v>2</v>
      </c>
      <c r="U20" s="6">
        <v>2.999</v>
      </c>
      <c r="V20" s="6">
        <v>3</v>
      </c>
      <c r="W20" s="6">
        <v>3.999</v>
      </c>
      <c r="X20" s="6">
        <v>4</v>
      </c>
      <c r="Y20" s="79">
        <v>10000</v>
      </c>
      <c r="Z20" s="255">
        <f t="shared" si="1"/>
        <v>0</v>
      </c>
      <c r="AA20" s="451"/>
      <c r="AB20" s="452" t="s">
        <v>220</v>
      </c>
      <c r="AC20" s="421"/>
      <c r="AD20" s="419"/>
      <c r="AE20" s="408"/>
      <c r="AF20" s="348"/>
      <c r="AG20" s="1028" t="s">
        <v>216</v>
      </c>
      <c r="AH20" s="1029"/>
      <c r="AI20" s="1029"/>
      <c r="AJ20" s="1029"/>
      <c r="AK20" s="1029"/>
      <c r="AL20" s="1029"/>
      <c r="AM20" s="1029"/>
      <c r="AN20" s="1029"/>
      <c r="AO20" s="1029"/>
      <c r="AP20" s="1029"/>
      <c r="AQ20" s="1029"/>
      <c r="AR20" s="1029"/>
      <c r="AS20" s="1029"/>
      <c r="AT20" s="1029"/>
      <c r="AU20" s="1029"/>
      <c r="AV20" s="1029"/>
      <c r="AW20" s="1029"/>
      <c r="AX20" s="1029"/>
      <c r="AY20" s="1029"/>
      <c r="AZ20" s="1185"/>
      <c r="BA20" s="356"/>
      <c r="BF20">
        <v>4</v>
      </c>
      <c r="BG20" s="358">
        <f t="shared" si="2"/>
        <v>1</v>
      </c>
      <c r="BH20">
        <f t="shared" si="3"/>
        <v>4</v>
      </c>
      <c r="BI20" s="358">
        <f t="shared" si="4"/>
        <v>0</v>
      </c>
    </row>
    <row r="21" spans="1:61" ht="37.5" customHeight="1" thickBot="1">
      <c r="A21" s="1113"/>
      <c r="B21" s="1026"/>
      <c r="C21" s="315">
        <f t="shared" si="5"/>
        <v>14</v>
      </c>
      <c r="D21" s="301" t="s">
        <v>41</v>
      </c>
      <c r="E21" s="1186"/>
      <c r="F21" s="1014"/>
      <c r="G21" s="42">
        <f>+E21</f>
        <v>0</v>
      </c>
      <c r="H21" s="127">
        <f>IF(E21="","",SUM(K21:O21))</f>
      </c>
      <c r="I21" s="679">
        <v>1.5</v>
      </c>
      <c r="J21" s="146">
        <f t="shared" si="12"/>
      </c>
      <c r="K21" s="48">
        <f>IF($E21&lt;$R21,$K$5,"")</f>
        <v>0</v>
      </c>
      <c r="L21" s="48">
        <f>IF(AND($E21&lt;$T21,$E21&gt;$Q21),$L$5,"")</f>
      </c>
      <c r="M21" s="48">
        <f>IF(AND($E21&lt;$V21,$E21&gt;$S21),$M$5,"")</f>
      </c>
      <c r="N21" s="48">
        <f>IF(AND($E21&lt;$X21,$E21&gt;$U21),$N$5,"")</f>
      </c>
      <c r="O21" s="48">
        <f>IF(AND($E21&lt;Y21,E21&gt;W21),$O$5,"")</f>
      </c>
      <c r="P21" s="6">
        <v>0</v>
      </c>
      <c r="Q21" s="6">
        <v>2</v>
      </c>
      <c r="R21" s="6">
        <v>3</v>
      </c>
      <c r="S21" s="6">
        <v>5</v>
      </c>
      <c r="T21" s="6">
        <v>6</v>
      </c>
      <c r="U21" s="6">
        <v>8</v>
      </c>
      <c r="V21" s="6">
        <v>9</v>
      </c>
      <c r="W21" s="6">
        <v>12</v>
      </c>
      <c r="X21" s="6">
        <v>13</v>
      </c>
      <c r="Y21" s="79">
        <v>10000</v>
      </c>
      <c r="Z21" s="255">
        <f t="shared" si="1"/>
        <v>0</v>
      </c>
      <c r="AA21" s="451"/>
      <c r="AB21" s="452" t="s">
        <v>220</v>
      </c>
      <c r="AC21" s="421"/>
      <c r="AD21" s="407">
        <f>IF(+$AD$20&lt;&gt;"",+$AD$20,"")</f>
      </c>
      <c r="AE21" s="408"/>
      <c r="AF21" s="348"/>
      <c r="AG21" s="1028" t="s">
        <v>216</v>
      </c>
      <c r="AH21" s="1029"/>
      <c r="AI21" s="1029"/>
      <c r="AJ21" s="1029"/>
      <c r="AK21" s="1029"/>
      <c r="AL21" s="1029"/>
      <c r="AM21" s="1029"/>
      <c r="AN21" s="1029"/>
      <c r="AO21" s="1029"/>
      <c r="AP21" s="1029"/>
      <c r="AQ21" s="1029"/>
      <c r="AR21" s="1029"/>
      <c r="AS21" s="1029"/>
      <c r="AT21" s="1029"/>
      <c r="AU21" s="1029"/>
      <c r="AV21" s="1029"/>
      <c r="AW21" s="1029"/>
      <c r="AX21" s="1029"/>
      <c r="AY21" s="1029"/>
      <c r="AZ21" s="1185"/>
      <c r="BA21" s="356"/>
      <c r="BF21">
        <v>4</v>
      </c>
      <c r="BG21" s="358">
        <f t="shared" si="2"/>
        <v>1.5</v>
      </c>
      <c r="BH21">
        <f t="shared" si="3"/>
        <v>6</v>
      </c>
      <c r="BI21" s="358">
        <f t="shared" si="4"/>
        <v>0</v>
      </c>
    </row>
    <row r="22" spans="1:61" ht="37.5" customHeight="1" thickBot="1">
      <c r="A22" s="1113"/>
      <c r="B22" s="1026"/>
      <c r="C22" s="315">
        <f t="shared" si="5"/>
        <v>15</v>
      </c>
      <c r="D22" s="301" t="s">
        <v>42</v>
      </c>
      <c r="E22" s="1186"/>
      <c r="F22" s="1014"/>
      <c r="G22" s="42">
        <f>+E22</f>
        <v>0</v>
      </c>
      <c r="H22" s="127">
        <f>IF(E22="","",SUM(K22:O22))</f>
      </c>
      <c r="I22" s="679">
        <v>0.5</v>
      </c>
      <c r="J22" s="146">
        <f t="shared" si="12"/>
      </c>
      <c r="K22" s="48">
        <f>IF($E22&lt;$R22,$K$5,"")</f>
        <v>0</v>
      </c>
      <c r="L22" s="48">
        <f>IF(AND($E22&lt;$T22,$E22&gt;$Q22),$L$5,"")</f>
      </c>
      <c r="M22" s="48">
        <f>IF(AND($E22&lt;$V22,$E22&gt;$S22),$M$5,"")</f>
      </c>
      <c r="N22" s="48">
        <f>IF(AND($E22&lt;$X22,$E22&gt;$U22),$N$5,"")</f>
      </c>
      <c r="O22" s="48">
        <f>IF(AND($E22&lt;Y22,E22&gt;W22),$O$5,"")</f>
      </c>
      <c r="P22" s="6">
        <v>0</v>
      </c>
      <c r="Q22" s="6">
        <v>0</v>
      </c>
      <c r="R22" s="6">
        <v>1</v>
      </c>
      <c r="S22" s="6">
        <v>3</v>
      </c>
      <c r="T22" s="6">
        <v>4</v>
      </c>
      <c r="U22" s="6">
        <v>6</v>
      </c>
      <c r="V22" s="6">
        <v>7</v>
      </c>
      <c r="W22" s="6">
        <v>9</v>
      </c>
      <c r="X22" s="6">
        <v>10</v>
      </c>
      <c r="Y22" s="79">
        <v>10000</v>
      </c>
      <c r="Z22" s="255">
        <f t="shared" si="1"/>
        <v>0</v>
      </c>
      <c r="AA22" s="451"/>
      <c r="AB22" s="452" t="s">
        <v>220</v>
      </c>
      <c r="AC22" s="421"/>
      <c r="AD22" s="407">
        <f>IF(+$AD$20&lt;&gt;"",+$AD$20,"")</f>
      </c>
      <c r="AE22" s="408"/>
      <c r="AF22" s="348"/>
      <c r="AG22" s="1080" t="s">
        <v>216</v>
      </c>
      <c r="AH22" s="1081"/>
      <c r="AI22" s="1081"/>
      <c r="AJ22" s="1081"/>
      <c r="AK22" s="1081"/>
      <c r="AL22" s="1081"/>
      <c r="AM22" s="1081"/>
      <c r="AN22" s="1081"/>
      <c r="AO22" s="1081"/>
      <c r="AP22" s="1081"/>
      <c r="AQ22" s="1081"/>
      <c r="AR22" s="1081"/>
      <c r="AS22" s="1081"/>
      <c r="AT22" s="1081"/>
      <c r="AU22" s="1081"/>
      <c r="AV22" s="1081"/>
      <c r="AW22" s="1081"/>
      <c r="AX22" s="1081"/>
      <c r="AY22" s="1081"/>
      <c r="AZ22" s="1082"/>
      <c r="BA22" s="356"/>
      <c r="BF22">
        <v>4</v>
      </c>
      <c r="BG22" s="358">
        <f t="shared" si="2"/>
        <v>0.5</v>
      </c>
      <c r="BH22">
        <f t="shared" si="3"/>
        <v>2</v>
      </c>
      <c r="BI22" s="358">
        <f t="shared" si="4"/>
        <v>0</v>
      </c>
    </row>
    <row r="23" spans="1:61" ht="31.5" customHeight="1" thickBot="1">
      <c r="A23" s="1113"/>
      <c r="B23" s="1026"/>
      <c r="C23" s="315">
        <f t="shared" si="5"/>
        <v>16</v>
      </c>
      <c r="D23" s="301" t="s">
        <v>43</v>
      </c>
      <c r="E23" s="1186"/>
      <c r="F23" s="1014"/>
      <c r="G23" s="42">
        <f>+E23</f>
        <v>0</v>
      </c>
      <c r="H23" s="127">
        <f>IF(E23="","",SUM(K23:O23))</f>
      </c>
      <c r="I23" s="679">
        <v>0.5</v>
      </c>
      <c r="J23" s="146">
        <f t="shared" si="12"/>
      </c>
      <c r="K23" s="48">
        <f>IF($E23&lt;$R23,$K$5,"")</f>
        <v>0</v>
      </c>
      <c r="L23" s="48">
        <f>IF(AND($E23&lt;$T23,$E23&gt;$Q23),$L$5,"")</f>
      </c>
      <c r="M23" s="48">
        <f>IF(AND($E23&lt;$V23,$E23&gt;$S23),$M$5,"")</f>
      </c>
      <c r="N23" s="48">
        <f>IF(AND($E23&lt;$X23,$E23&gt;$U23),$N$5,"")</f>
      </c>
      <c r="O23" s="48">
        <f>IF(AND($E23&lt;Y23,E23&gt;W23),$O$5,"")</f>
      </c>
      <c r="P23" s="6">
        <v>0</v>
      </c>
      <c r="Q23" s="6">
        <v>0</v>
      </c>
      <c r="R23" s="6">
        <v>1</v>
      </c>
      <c r="S23" s="6">
        <v>5</v>
      </c>
      <c r="T23" s="6">
        <v>6</v>
      </c>
      <c r="U23" s="6">
        <v>10</v>
      </c>
      <c r="V23" s="6">
        <v>11</v>
      </c>
      <c r="W23" s="6">
        <v>15</v>
      </c>
      <c r="X23" s="6">
        <v>16</v>
      </c>
      <c r="Y23" s="79">
        <v>10000</v>
      </c>
      <c r="Z23" s="255">
        <f t="shared" si="1"/>
        <v>0</v>
      </c>
      <c r="AA23" s="451"/>
      <c r="AB23" s="452" t="s">
        <v>220</v>
      </c>
      <c r="AC23" s="421"/>
      <c r="AD23" s="407"/>
      <c r="AE23" s="408"/>
      <c r="AF23" s="348"/>
      <c r="AG23" s="1061" t="s">
        <v>214</v>
      </c>
      <c r="AH23" s="1091"/>
      <c r="AI23" s="1091"/>
      <c r="AJ23" s="1091"/>
      <c r="AK23" s="1091"/>
      <c r="AL23" s="1091"/>
      <c r="AM23" s="1091"/>
      <c r="AN23" s="1091"/>
      <c r="AO23" s="1091"/>
      <c r="AP23" s="1091"/>
      <c r="AQ23" s="1091"/>
      <c r="AR23" s="1091"/>
      <c r="AS23" s="1091"/>
      <c r="AT23" s="1091"/>
      <c r="AU23" s="1091"/>
      <c r="AV23" s="1091"/>
      <c r="AW23" s="1091"/>
      <c r="AX23" s="1091"/>
      <c r="AY23" s="1091"/>
      <c r="AZ23" s="1092"/>
      <c r="BA23" s="356"/>
      <c r="BF23">
        <v>4</v>
      </c>
      <c r="BG23" s="358">
        <f t="shared" si="2"/>
        <v>0.5</v>
      </c>
      <c r="BH23">
        <f t="shared" si="3"/>
        <v>2</v>
      </c>
      <c r="BI23" s="358">
        <f t="shared" si="4"/>
        <v>0</v>
      </c>
    </row>
    <row r="24" spans="1:61" ht="37.5" customHeight="1" thickBot="1">
      <c r="A24" s="1113"/>
      <c r="B24" s="1026"/>
      <c r="C24" s="315">
        <f t="shared" si="5"/>
        <v>17</v>
      </c>
      <c r="D24" s="301" t="s">
        <v>44</v>
      </c>
      <c r="E24" s="650"/>
      <c r="F24" s="207">
        <f>+$E$7</f>
        <v>0</v>
      </c>
      <c r="G24" s="162">
        <f aca="true" t="shared" si="17" ref="G24:G30">IF(E24="","",ROUND(E24/F24,4))</f>
      </c>
      <c r="H24" s="127">
        <f aca="true" t="shared" si="18" ref="H24:H43">IF(OR(E24="",F24="",F24=0),"",SUM(K24:O24))</f>
      </c>
      <c r="I24" s="679">
        <v>0.5</v>
      </c>
      <c r="J24" s="146">
        <f t="shared" si="12"/>
      </c>
      <c r="K24" s="33">
        <f aca="true" t="shared" si="19" ref="K24:K30">IF($G24&lt;$R24%,$K$5,"")</f>
      </c>
      <c r="L24" s="33">
        <f aca="true" t="shared" si="20" ref="L24:L30">IF(AND($G24&lt;$T24%,$G24&gt;$Q24%),$L$5,"")</f>
      </c>
      <c r="M24" s="33">
        <f aca="true" t="shared" si="21" ref="M24:M30">IF(AND($G24&lt;$V24%,$G24&gt;$S24%),$M$5,"")</f>
      </c>
      <c r="N24" s="33">
        <f aca="true" t="shared" si="22" ref="N24:N30">IF(AND($G24&lt;$X24%,$G24&gt;$U24%),$N$5,"")</f>
      </c>
      <c r="O24" s="33">
        <f aca="true" t="shared" si="23" ref="O24:O30">IF(AND($G24&lt;Y24%,G24&gt;W24%),$O$5,"")</f>
      </c>
      <c r="P24" s="6">
        <v>0</v>
      </c>
      <c r="Q24" s="6">
        <v>0.999</v>
      </c>
      <c r="R24" s="6">
        <v>1</v>
      </c>
      <c r="S24" s="6">
        <v>2.999</v>
      </c>
      <c r="T24" s="6">
        <v>3</v>
      </c>
      <c r="U24" s="6">
        <v>5.999</v>
      </c>
      <c r="V24" s="6">
        <v>6</v>
      </c>
      <c r="W24" s="6">
        <v>9.999</v>
      </c>
      <c r="X24" s="6">
        <v>10</v>
      </c>
      <c r="Y24" s="79">
        <v>10000</v>
      </c>
      <c r="Z24" s="255">
        <f t="shared" si="1"/>
        <v>0</v>
      </c>
      <c r="AA24" s="451"/>
      <c r="AB24" s="452" t="s">
        <v>220</v>
      </c>
      <c r="AC24" s="421"/>
      <c r="AD24" s="407"/>
      <c r="AE24" s="408"/>
      <c r="AF24" s="348"/>
      <c r="AG24" s="1061" t="s">
        <v>215</v>
      </c>
      <c r="AH24" s="1091"/>
      <c r="AI24" s="1091"/>
      <c r="AJ24" s="1091"/>
      <c r="AK24" s="1091"/>
      <c r="AL24" s="1091"/>
      <c r="AM24" s="1091"/>
      <c r="AN24" s="1091"/>
      <c r="AO24" s="1091"/>
      <c r="AP24" s="1091"/>
      <c r="AQ24" s="1091"/>
      <c r="AR24" s="1091"/>
      <c r="AS24" s="1091"/>
      <c r="AT24" s="1091"/>
      <c r="AU24" s="1091"/>
      <c r="AV24" s="1091"/>
      <c r="AW24" s="1091"/>
      <c r="AX24" s="1091"/>
      <c r="AY24" s="1091"/>
      <c r="AZ24" s="1092"/>
      <c r="BA24" s="357">
        <f aca="true" t="shared" si="24" ref="BA24:BA30">IF(E24&gt;F24,"ERROR INPUT","")</f>
      </c>
      <c r="BF24">
        <v>4</v>
      </c>
      <c r="BG24" s="358">
        <f t="shared" si="2"/>
        <v>0.5</v>
      </c>
      <c r="BH24">
        <f t="shared" si="3"/>
        <v>2</v>
      </c>
      <c r="BI24" s="358">
        <f t="shared" si="4"/>
        <v>0</v>
      </c>
    </row>
    <row r="25" spans="1:63" ht="57" customHeight="1" thickBot="1">
      <c r="A25" s="1113"/>
      <c r="B25" s="1026"/>
      <c r="C25" s="315">
        <f t="shared" si="5"/>
        <v>18</v>
      </c>
      <c r="D25" s="301" t="s">
        <v>45</v>
      </c>
      <c r="E25" s="650"/>
      <c r="F25" s="650"/>
      <c r="G25" s="162">
        <f t="shared" si="17"/>
      </c>
      <c r="H25" s="127">
        <f t="shared" si="18"/>
      </c>
      <c r="I25" s="679">
        <v>1.5</v>
      </c>
      <c r="J25" s="146">
        <f t="shared" si="12"/>
      </c>
      <c r="K25" s="33">
        <f t="shared" si="19"/>
      </c>
      <c r="L25" s="33">
        <f t="shared" si="20"/>
      </c>
      <c r="M25" s="33">
        <f t="shared" si="21"/>
      </c>
      <c r="N25" s="33">
        <f t="shared" si="22"/>
      </c>
      <c r="O25" s="33">
        <f t="shared" si="23"/>
      </c>
      <c r="P25" s="6">
        <v>0</v>
      </c>
      <c r="Q25" s="6">
        <v>0.999</v>
      </c>
      <c r="R25" s="6">
        <v>1</v>
      </c>
      <c r="S25" s="6">
        <v>2.999</v>
      </c>
      <c r="T25" s="6">
        <v>3</v>
      </c>
      <c r="U25" s="6">
        <v>5.999</v>
      </c>
      <c r="V25" s="6">
        <v>6</v>
      </c>
      <c r="W25" s="6">
        <v>9.999</v>
      </c>
      <c r="X25" s="6">
        <v>10</v>
      </c>
      <c r="Y25" s="79">
        <v>10000</v>
      </c>
      <c r="Z25" s="255">
        <f t="shared" si="1"/>
        <v>0</v>
      </c>
      <c r="AA25" s="453"/>
      <c r="AB25" s="454" t="s">
        <v>220</v>
      </c>
      <c r="AC25" s="455"/>
      <c r="AD25" s="407"/>
      <c r="AE25" s="408"/>
      <c r="AF25" s="348"/>
      <c r="AG25" s="1182" t="s">
        <v>217</v>
      </c>
      <c r="AH25" s="1183"/>
      <c r="AI25" s="1183"/>
      <c r="AJ25" s="1183"/>
      <c r="AK25" s="1183"/>
      <c r="AL25" s="1183"/>
      <c r="AM25" s="1183"/>
      <c r="AN25" s="1183"/>
      <c r="AO25" s="1183"/>
      <c r="AP25" s="1183"/>
      <c r="AQ25" s="1183"/>
      <c r="AR25" s="1183"/>
      <c r="AS25" s="1183"/>
      <c r="AT25" s="1183"/>
      <c r="AU25" s="1183"/>
      <c r="AV25" s="1183"/>
      <c r="AW25" s="1183"/>
      <c r="AX25" s="1183"/>
      <c r="AY25" s="1183"/>
      <c r="AZ25" s="1184"/>
      <c r="BA25" s="357">
        <f t="shared" si="24"/>
      </c>
      <c r="BF25">
        <v>4</v>
      </c>
      <c r="BG25" s="358">
        <f t="shared" si="2"/>
        <v>1.5</v>
      </c>
      <c r="BH25">
        <f t="shared" si="3"/>
        <v>6</v>
      </c>
      <c r="BI25" s="358">
        <f t="shared" si="4"/>
        <v>0</v>
      </c>
      <c r="BJ25">
        <f>SUM(BH20:BH25)</f>
        <v>22</v>
      </c>
      <c r="BK25">
        <f>SUM(BI20:BI25)</f>
        <v>0</v>
      </c>
    </row>
    <row r="26" spans="1:61" ht="56.25" customHeight="1" thickBot="1">
      <c r="A26" s="1113"/>
      <c r="B26" s="1114" t="s">
        <v>10</v>
      </c>
      <c r="C26" s="316">
        <f t="shared" si="5"/>
        <v>19</v>
      </c>
      <c r="D26" s="302" t="s">
        <v>46</v>
      </c>
      <c r="E26" s="273"/>
      <c r="F26" s="208"/>
      <c r="G26" s="163">
        <f t="shared" si="17"/>
      </c>
      <c r="H26" s="128">
        <f t="shared" si="18"/>
      </c>
      <c r="I26" s="680">
        <v>1.5</v>
      </c>
      <c r="J26" s="147">
        <f t="shared" si="12"/>
      </c>
      <c r="K26" s="38">
        <f t="shared" si="19"/>
      </c>
      <c r="L26" s="39">
        <f t="shared" si="20"/>
      </c>
      <c r="M26" s="39">
        <f t="shared" si="21"/>
      </c>
      <c r="N26" s="39">
        <f t="shared" si="22"/>
      </c>
      <c r="O26" s="39">
        <f t="shared" si="23"/>
      </c>
      <c r="P26" s="40">
        <v>0</v>
      </c>
      <c r="Q26" s="40">
        <v>19.999</v>
      </c>
      <c r="R26" s="41">
        <v>20</v>
      </c>
      <c r="S26" s="41">
        <v>39.999</v>
      </c>
      <c r="T26" s="41">
        <v>40</v>
      </c>
      <c r="U26" s="41">
        <v>59.999</v>
      </c>
      <c r="V26" s="41">
        <v>60</v>
      </c>
      <c r="W26" s="41">
        <v>79.999</v>
      </c>
      <c r="X26" s="41">
        <v>80</v>
      </c>
      <c r="Y26" s="41">
        <v>10000</v>
      </c>
      <c r="Z26" s="255">
        <f t="shared" si="1"/>
        <v>0</v>
      </c>
      <c r="AA26" s="456"/>
      <c r="AB26" s="457" t="s">
        <v>220</v>
      </c>
      <c r="AC26" s="422"/>
      <c r="AD26" s="419"/>
      <c r="AE26" s="408"/>
      <c r="AF26" s="361">
        <f>IF(OR(E26="",F26=""),"",IF(G26&gt;100%,"SURPLUS !",""))</f>
      </c>
      <c r="AG26" s="1028" t="s">
        <v>252</v>
      </c>
      <c r="AH26" s="1029"/>
      <c r="AI26" s="1029"/>
      <c r="AJ26" s="1029"/>
      <c r="AK26" s="1029"/>
      <c r="AL26" s="1029"/>
      <c r="AM26" s="1029"/>
      <c r="AN26" s="1029"/>
      <c r="AO26" s="1029"/>
      <c r="AP26" s="1029"/>
      <c r="AQ26" s="1029"/>
      <c r="AR26" s="1029"/>
      <c r="AS26" s="1029"/>
      <c r="AT26" s="1029"/>
      <c r="AU26" s="1029"/>
      <c r="AV26" s="1029"/>
      <c r="AW26" s="1029"/>
      <c r="AX26" s="1029"/>
      <c r="AY26" s="1029"/>
      <c r="AZ26" s="1030"/>
      <c r="BA26" s="357"/>
      <c r="BF26">
        <v>4</v>
      </c>
      <c r="BG26" s="358">
        <f t="shared" si="2"/>
        <v>1.5</v>
      </c>
      <c r="BH26">
        <f t="shared" si="3"/>
        <v>6</v>
      </c>
      <c r="BI26" s="358">
        <f t="shared" si="4"/>
        <v>0</v>
      </c>
    </row>
    <row r="27" spans="1:61" ht="37.5" customHeight="1" thickBot="1">
      <c r="A27" s="1113"/>
      <c r="B27" s="1114"/>
      <c r="C27" s="316">
        <f t="shared" si="5"/>
        <v>20</v>
      </c>
      <c r="D27" s="302" t="s">
        <v>47</v>
      </c>
      <c r="E27" s="273"/>
      <c r="F27" s="209">
        <f>+F26</f>
        <v>0</v>
      </c>
      <c r="G27" s="163">
        <f t="shared" si="17"/>
      </c>
      <c r="H27" s="128">
        <f t="shared" si="18"/>
      </c>
      <c r="I27" s="680">
        <v>1</v>
      </c>
      <c r="J27" s="147">
        <f t="shared" si="12"/>
      </c>
      <c r="K27" s="38">
        <f t="shared" si="19"/>
      </c>
      <c r="L27" s="39">
        <f t="shared" si="20"/>
      </c>
      <c r="M27" s="39">
        <f t="shared" si="21"/>
      </c>
      <c r="N27" s="39">
        <f t="shared" si="22"/>
      </c>
      <c r="O27" s="39">
        <f t="shared" si="23"/>
      </c>
      <c r="P27" s="40">
        <v>0</v>
      </c>
      <c r="Q27" s="40">
        <v>19.999</v>
      </c>
      <c r="R27" s="41">
        <v>20</v>
      </c>
      <c r="S27" s="41">
        <v>39.999</v>
      </c>
      <c r="T27" s="41">
        <v>40</v>
      </c>
      <c r="U27" s="41">
        <v>59.999</v>
      </c>
      <c r="V27" s="41">
        <v>60</v>
      </c>
      <c r="W27" s="41">
        <v>79.999</v>
      </c>
      <c r="X27" s="41">
        <v>80</v>
      </c>
      <c r="Y27" s="41">
        <v>10000</v>
      </c>
      <c r="Z27" s="255">
        <f t="shared" si="1"/>
        <v>0</v>
      </c>
      <c r="AA27" s="456"/>
      <c r="AB27" s="457" t="s">
        <v>220</v>
      </c>
      <c r="AC27" s="422"/>
      <c r="AD27" s="407"/>
      <c r="AE27" s="408"/>
      <c r="AF27" s="348"/>
      <c r="AG27" s="1028" t="s">
        <v>252</v>
      </c>
      <c r="AH27" s="1029"/>
      <c r="AI27" s="1029"/>
      <c r="AJ27" s="1029"/>
      <c r="AK27" s="1029"/>
      <c r="AL27" s="1029"/>
      <c r="AM27" s="1029"/>
      <c r="AN27" s="1029"/>
      <c r="AO27" s="1029"/>
      <c r="AP27" s="1029"/>
      <c r="AQ27" s="1029"/>
      <c r="AR27" s="1029"/>
      <c r="AS27" s="1029"/>
      <c r="AT27" s="1029"/>
      <c r="AU27" s="1029"/>
      <c r="AV27" s="1029"/>
      <c r="AW27" s="1029"/>
      <c r="AX27" s="1029"/>
      <c r="AY27" s="1029"/>
      <c r="AZ27" s="1030"/>
      <c r="BA27" s="357">
        <f t="shared" si="24"/>
      </c>
      <c r="BF27">
        <v>4</v>
      </c>
      <c r="BG27" s="358">
        <f t="shared" si="2"/>
        <v>1</v>
      </c>
      <c r="BH27">
        <f t="shared" si="3"/>
        <v>4</v>
      </c>
      <c r="BI27" s="358">
        <f t="shared" si="4"/>
        <v>0</v>
      </c>
    </row>
    <row r="28" spans="1:61" ht="37.5" customHeight="1" thickBot="1">
      <c r="A28" s="1113" t="s">
        <v>6</v>
      </c>
      <c r="B28" s="1114" t="s">
        <v>10</v>
      </c>
      <c r="C28" s="316">
        <f t="shared" si="5"/>
        <v>21</v>
      </c>
      <c r="D28" s="302" t="s">
        <v>48</v>
      </c>
      <c r="E28" s="273"/>
      <c r="F28" s="209">
        <f>+$E$27</f>
        <v>0</v>
      </c>
      <c r="G28" s="163">
        <f t="shared" si="17"/>
      </c>
      <c r="H28" s="128">
        <f t="shared" si="18"/>
      </c>
      <c r="I28" s="680">
        <v>1.5</v>
      </c>
      <c r="J28" s="147">
        <f t="shared" si="12"/>
      </c>
      <c r="K28" s="38">
        <f t="shared" si="19"/>
      </c>
      <c r="L28" s="39">
        <f t="shared" si="20"/>
      </c>
      <c r="M28" s="39">
        <f t="shared" si="21"/>
      </c>
      <c r="N28" s="39">
        <f t="shared" si="22"/>
      </c>
      <c r="O28" s="39">
        <f t="shared" si="23"/>
      </c>
      <c r="P28" s="40">
        <v>0</v>
      </c>
      <c r="Q28" s="40">
        <v>20</v>
      </c>
      <c r="R28" s="41">
        <v>20.0001</v>
      </c>
      <c r="S28" s="41">
        <v>40</v>
      </c>
      <c r="T28" s="41">
        <v>40.0001</v>
      </c>
      <c r="U28" s="41">
        <v>60</v>
      </c>
      <c r="V28" s="41">
        <v>60.0001</v>
      </c>
      <c r="W28" s="41">
        <v>80</v>
      </c>
      <c r="X28" s="41">
        <v>80.0001</v>
      </c>
      <c r="Y28" s="41">
        <v>10000</v>
      </c>
      <c r="Z28" s="255">
        <f t="shared" si="1"/>
        <v>0</v>
      </c>
      <c r="AA28" s="456"/>
      <c r="AB28" s="457" t="s">
        <v>220</v>
      </c>
      <c r="AC28" s="422"/>
      <c r="AD28" s="407"/>
      <c r="AE28" s="408"/>
      <c r="AF28" s="348"/>
      <c r="AG28" s="1028" t="s">
        <v>254</v>
      </c>
      <c r="AH28" s="1029"/>
      <c r="AI28" s="1029"/>
      <c r="AJ28" s="1029"/>
      <c r="AK28" s="1029"/>
      <c r="AL28" s="1029"/>
      <c r="AM28" s="1029"/>
      <c r="AN28" s="1029"/>
      <c r="AO28" s="1029"/>
      <c r="AP28" s="1029"/>
      <c r="AQ28" s="1029"/>
      <c r="AR28" s="1029"/>
      <c r="AS28" s="1029"/>
      <c r="AT28" s="1029"/>
      <c r="AU28" s="1029"/>
      <c r="AV28" s="1029"/>
      <c r="AW28" s="1029"/>
      <c r="AX28" s="1029"/>
      <c r="AY28" s="1029"/>
      <c r="AZ28" s="1030"/>
      <c r="BA28" s="357">
        <f t="shared" si="24"/>
      </c>
      <c r="BF28">
        <v>4</v>
      </c>
      <c r="BG28" s="358">
        <f t="shared" si="2"/>
        <v>1.5</v>
      </c>
      <c r="BH28">
        <f t="shared" si="3"/>
        <v>6</v>
      </c>
      <c r="BI28" s="358">
        <f t="shared" si="4"/>
        <v>0</v>
      </c>
    </row>
    <row r="29" spans="1:61" ht="37.5" customHeight="1" thickBot="1">
      <c r="A29" s="1113"/>
      <c r="B29" s="1114"/>
      <c r="C29" s="316">
        <f t="shared" si="5"/>
        <v>22</v>
      </c>
      <c r="D29" s="302" t="s">
        <v>49</v>
      </c>
      <c r="E29" s="273"/>
      <c r="F29" s="209">
        <f>+$E$27</f>
        <v>0</v>
      </c>
      <c r="G29" s="163">
        <f t="shared" si="17"/>
      </c>
      <c r="H29" s="128">
        <f t="shared" si="18"/>
      </c>
      <c r="I29" s="680">
        <v>0.5</v>
      </c>
      <c r="J29" s="147">
        <f t="shared" si="12"/>
      </c>
      <c r="K29" s="38">
        <f t="shared" si="19"/>
      </c>
      <c r="L29" s="39">
        <f t="shared" si="20"/>
      </c>
      <c r="M29" s="39">
        <f t="shared" si="21"/>
      </c>
      <c r="N29" s="39">
        <f t="shared" si="22"/>
      </c>
      <c r="O29" s="39">
        <f t="shared" si="23"/>
      </c>
      <c r="P29" s="40">
        <v>0</v>
      </c>
      <c r="Q29" s="40">
        <v>1.999</v>
      </c>
      <c r="R29" s="41">
        <v>2</v>
      </c>
      <c r="S29" s="41">
        <v>3.999</v>
      </c>
      <c r="T29" s="41">
        <v>4</v>
      </c>
      <c r="U29" s="41">
        <v>5.999</v>
      </c>
      <c r="V29" s="41">
        <v>6</v>
      </c>
      <c r="W29" s="41">
        <v>7.999</v>
      </c>
      <c r="X29" s="41">
        <v>8</v>
      </c>
      <c r="Y29" s="41">
        <v>10000</v>
      </c>
      <c r="Z29" s="255">
        <f t="shared" si="1"/>
        <v>0</v>
      </c>
      <c r="AA29" s="456"/>
      <c r="AB29" s="457" t="s">
        <v>220</v>
      </c>
      <c r="AC29" s="422"/>
      <c r="AD29" s="407"/>
      <c r="AE29" s="408"/>
      <c r="AF29" s="348"/>
      <c r="AG29" s="1080" t="s">
        <v>253</v>
      </c>
      <c r="AH29" s="1081"/>
      <c r="AI29" s="1081"/>
      <c r="AJ29" s="1081"/>
      <c r="AK29" s="1081"/>
      <c r="AL29" s="1081"/>
      <c r="AM29" s="1081"/>
      <c r="AN29" s="1081"/>
      <c r="AO29" s="1081"/>
      <c r="AP29" s="1081"/>
      <c r="AQ29" s="1081"/>
      <c r="AR29" s="1081"/>
      <c r="AS29" s="1081"/>
      <c r="AT29" s="1081"/>
      <c r="AU29" s="1081"/>
      <c r="AV29" s="1081"/>
      <c r="AW29" s="1081"/>
      <c r="AX29" s="1081"/>
      <c r="AY29" s="1081"/>
      <c r="AZ29" s="1181"/>
      <c r="BA29" s="357">
        <f t="shared" si="24"/>
      </c>
      <c r="BF29">
        <v>4</v>
      </c>
      <c r="BG29" s="358">
        <f t="shared" si="2"/>
        <v>0.5</v>
      </c>
      <c r="BH29">
        <f t="shared" si="3"/>
        <v>2</v>
      </c>
      <c r="BI29" s="358">
        <f t="shared" si="4"/>
        <v>0</v>
      </c>
    </row>
    <row r="30" spans="1:61" ht="37.5" customHeight="1" thickBot="1">
      <c r="A30" s="1113"/>
      <c r="B30" s="1114"/>
      <c r="C30" s="316">
        <f t="shared" si="5"/>
        <v>23</v>
      </c>
      <c r="D30" s="302" t="s">
        <v>50</v>
      </c>
      <c r="E30" s="273"/>
      <c r="F30" s="209">
        <f>+$E$27</f>
        <v>0</v>
      </c>
      <c r="G30" s="163">
        <f t="shared" si="17"/>
      </c>
      <c r="H30" s="128">
        <f t="shared" si="18"/>
      </c>
      <c r="I30" s="680">
        <v>0.5</v>
      </c>
      <c r="J30" s="147">
        <f t="shared" si="12"/>
      </c>
      <c r="K30" s="38">
        <f t="shared" si="19"/>
      </c>
      <c r="L30" s="39">
        <f t="shared" si="20"/>
      </c>
      <c r="M30" s="39">
        <f t="shared" si="21"/>
      </c>
      <c r="N30" s="39">
        <f t="shared" si="22"/>
      </c>
      <c r="O30" s="39">
        <f t="shared" si="23"/>
      </c>
      <c r="P30" s="40">
        <v>0</v>
      </c>
      <c r="Q30" s="40">
        <v>1.999</v>
      </c>
      <c r="R30" s="41">
        <v>2</v>
      </c>
      <c r="S30" s="41">
        <v>3.999</v>
      </c>
      <c r="T30" s="41">
        <v>4</v>
      </c>
      <c r="U30" s="41">
        <v>5.999</v>
      </c>
      <c r="V30" s="41">
        <v>6</v>
      </c>
      <c r="W30" s="41">
        <v>7.999</v>
      </c>
      <c r="X30" s="41">
        <v>8</v>
      </c>
      <c r="Y30" s="41">
        <v>10000</v>
      </c>
      <c r="Z30" s="255">
        <f t="shared" si="1"/>
        <v>0</v>
      </c>
      <c r="AA30" s="456"/>
      <c r="AB30" s="457" t="s">
        <v>220</v>
      </c>
      <c r="AC30" s="422"/>
      <c r="AD30" s="407"/>
      <c r="AE30" s="408"/>
      <c r="AF30" s="348"/>
      <c r="AG30" s="1182" t="s">
        <v>218</v>
      </c>
      <c r="AH30" s="1183"/>
      <c r="AI30" s="1183"/>
      <c r="AJ30" s="1183"/>
      <c r="AK30" s="1183"/>
      <c r="AL30" s="1183"/>
      <c r="AM30" s="1183"/>
      <c r="AN30" s="1183"/>
      <c r="AO30" s="1183"/>
      <c r="AP30" s="1183"/>
      <c r="AQ30" s="1183"/>
      <c r="AR30" s="1183"/>
      <c r="AS30" s="1183"/>
      <c r="AT30" s="1183"/>
      <c r="AU30" s="1183"/>
      <c r="AV30" s="1183"/>
      <c r="AW30" s="1183"/>
      <c r="AX30" s="1183"/>
      <c r="AY30" s="1183"/>
      <c r="AZ30" s="1184"/>
      <c r="BA30" s="357">
        <f t="shared" si="24"/>
      </c>
      <c r="BF30">
        <v>4</v>
      </c>
      <c r="BG30" s="358">
        <f t="shared" si="2"/>
        <v>0.5</v>
      </c>
      <c r="BH30">
        <f t="shared" si="3"/>
        <v>2</v>
      </c>
      <c r="BI30" s="358">
        <f t="shared" si="4"/>
        <v>0</v>
      </c>
    </row>
    <row r="31" spans="1:61" ht="37.5" customHeight="1" thickBot="1">
      <c r="A31" s="1113"/>
      <c r="B31" s="1114"/>
      <c r="C31" s="316">
        <f t="shared" si="5"/>
        <v>24</v>
      </c>
      <c r="D31" s="302" t="s">
        <v>51</v>
      </c>
      <c r="E31" s="274">
        <f>+$E$7</f>
        <v>0</v>
      </c>
      <c r="F31" s="209">
        <f>+F27</f>
        <v>0</v>
      </c>
      <c r="G31" s="164" t="e">
        <f>IF(E31="","",ROUND(E31/F31,4))</f>
        <v>#DIV/0!</v>
      </c>
      <c r="H31" s="128">
        <f t="shared" si="18"/>
      </c>
      <c r="I31" s="680">
        <v>1</v>
      </c>
      <c r="J31" s="147">
        <f t="shared" si="12"/>
      </c>
      <c r="K31" s="39" t="e">
        <f>IF($G31&gt;$R31,$K$5,"")</f>
        <v>#DIV/0!</v>
      </c>
      <c r="L31" s="39" t="e">
        <f>IF(AND($G31&gt;$T31,$G31&lt;$Q31),$L$5,"")</f>
        <v>#DIV/0!</v>
      </c>
      <c r="M31" s="39" t="e">
        <f>IF(AND($G31&gt;$V31,$G31&lt;$S31),$M$5,"")</f>
        <v>#DIV/0!</v>
      </c>
      <c r="N31" s="39" t="e">
        <f>IF(AND($G31&gt;$X31,$G31&lt;$U31),$N$5,"")</f>
        <v>#DIV/0!</v>
      </c>
      <c r="O31" s="39" t="e">
        <f>IF(AND($G31&gt;Y31,G31&lt;W31),$O$5,"")</f>
        <v>#DIV/0!</v>
      </c>
      <c r="P31" s="7">
        <v>1000</v>
      </c>
      <c r="Q31" s="7">
        <v>100.0001</v>
      </c>
      <c r="R31" s="7">
        <v>100</v>
      </c>
      <c r="S31" s="7">
        <v>80.0001</v>
      </c>
      <c r="T31" s="7">
        <v>80</v>
      </c>
      <c r="U31" s="7">
        <v>60.0001</v>
      </c>
      <c r="V31" s="7">
        <v>60</v>
      </c>
      <c r="W31" s="7">
        <v>40.0001</v>
      </c>
      <c r="X31" s="7">
        <v>40</v>
      </c>
      <c r="Y31" s="7">
        <v>0.0001</v>
      </c>
      <c r="Z31" s="255">
        <f t="shared" si="1"/>
        <v>0</v>
      </c>
      <c r="AA31" s="456"/>
      <c r="AB31" s="457" t="s">
        <v>220</v>
      </c>
      <c r="AC31" s="422"/>
      <c r="AD31" s="407"/>
      <c r="AE31" s="408"/>
      <c r="AF31" s="348"/>
      <c r="AG31" s="1028" t="s">
        <v>255</v>
      </c>
      <c r="AH31" s="1029"/>
      <c r="AI31" s="1029"/>
      <c r="AJ31" s="1029"/>
      <c r="AK31" s="1029"/>
      <c r="AL31" s="1029"/>
      <c r="AM31" s="1029"/>
      <c r="AN31" s="1029"/>
      <c r="AO31" s="1029"/>
      <c r="AP31" s="1029"/>
      <c r="AQ31" s="1029"/>
      <c r="AR31" s="1029"/>
      <c r="AS31" s="1029"/>
      <c r="AT31" s="1029"/>
      <c r="AU31" s="1029"/>
      <c r="AV31" s="1029"/>
      <c r="AW31" s="1029"/>
      <c r="AX31" s="1029"/>
      <c r="AY31" s="1029"/>
      <c r="AZ31" s="1185"/>
      <c r="BA31" s="356"/>
      <c r="BF31">
        <v>4</v>
      </c>
      <c r="BG31" s="358">
        <f t="shared" si="2"/>
        <v>1</v>
      </c>
      <c r="BH31">
        <f t="shared" si="3"/>
        <v>4</v>
      </c>
      <c r="BI31" s="358">
        <f t="shared" si="4"/>
        <v>0</v>
      </c>
    </row>
    <row r="32" spans="1:61" ht="37.5" customHeight="1" thickBot="1">
      <c r="A32" s="1113"/>
      <c r="B32" s="1114"/>
      <c r="C32" s="316">
        <f t="shared" si="5"/>
        <v>25</v>
      </c>
      <c r="D32" s="302" t="s">
        <v>52</v>
      </c>
      <c r="E32" s="274">
        <f>+$E$7</f>
        <v>0</v>
      </c>
      <c r="F32" s="209">
        <f>+$E$26</f>
        <v>0</v>
      </c>
      <c r="G32" s="164" t="e">
        <f>IF(E32="","",ROUND(E32/F32,4))</f>
        <v>#DIV/0!</v>
      </c>
      <c r="H32" s="128">
        <f t="shared" si="18"/>
      </c>
      <c r="I32" s="680">
        <v>1</v>
      </c>
      <c r="J32" s="147">
        <f t="shared" si="12"/>
      </c>
      <c r="K32" s="39" t="e">
        <f>IF($G32&gt;$R32,$K$5,"")</f>
        <v>#DIV/0!</v>
      </c>
      <c r="L32" s="39" t="e">
        <f>IF(AND($G32&gt;$T32,$G32&lt;$Q32),$L$5,"")</f>
        <v>#DIV/0!</v>
      </c>
      <c r="M32" s="39" t="e">
        <f>IF(AND($G32&gt;$V32,$G32&lt;$S32),$M$5,"")</f>
        <v>#DIV/0!</v>
      </c>
      <c r="N32" s="39" t="e">
        <f>IF(AND($G32&gt;$X32,$G32&lt;$U32),$N$5,"")</f>
        <v>#DIV/0!</v>
      </c>
      <c r="O32" s="39" t="e">
        <f>IF(AND($G32&gt;Y32,G32&lt;W32),$O$5,"")</f>
        <v>#DIV/0!</v>
      </c>
      <c r="P32" s="7">
        <v>1000</v>
      </c>
      <c r="Q32" s="7">
        <v>100.0001</v>
      </c>
      <c r="R32" s="7">
        <v>100</v>
      </c>
      <c r="S32" s="7">
        <v>80.0001</v>
      </c>
      <c r="T32" s="7">
        <v>80</v>
      </c>
      <c r="U32" s="7">
        <v>60.0001</v>
      </c>
      <c r="V32" s="7">
        <v>60</v>
      </c>
      <c r="W32" s="7">
        <v>40.0001</v>
      </c>
      <c r="X32" s="7">
        <v>40</v>
      </c>
      <c r="Y32" s="7">
        <v>0.0001</v>
      </c>
      <c r="Z32" s="255">
        <f t="shared" si="1"/>
        <v>0</v>
      </c>
      <c r="AA32" s="456"/>
      <c r="AB32" s="457" t="s">
        <v>220</v>
      </c>
      <c r="AC32" s="422"/>
      <c r="AD32" s="407"/>
      <c r="AE32" s="408"/>
      <c r="AF32" s="348"/>
      <c r="AG32" s="1028" t="s">
        <v>255</v>
      </c>
      <c r="AH32" s="1029"/>
      <c r="AI32" s="1029"/>
      <c r="AJ32" s="1029"/>
      <c r="AK32" s="1029"/>
      <c r="AL32" s="1029"/>
      <c r="AM32" s="1029"/>
      <c r="AN32" s="1029"/>
      <c r="AO32" s="1029"/>
      <c r="AP32" s="1029"/>
      <c r="AQ32" s="1029"/>
      <c r="AR32" s="1029"/>
      <c r="AS32" s="1029"/>
      <c r="AT32" s="1029"/>
      <c r="AU32" s="1029"/>
      <c r="AV32" s="1029"/>
      <c r="AW32" s="1029"/>
      <c r="AX32" s="1029"/>
      <c r="AY32" s="1029"/>
      <c r="AZ32" s="1185"/>
      <c r="BA32" s="356"/>
      <c r="BF32">
        <v>4</v>
      </c>
      <c r="BG32" s="358">
        <f t="shared" si="2"/>
        <v>1</v>
      </c>
      <c r="BH32">
        <f t="shared" si="3"/>
        <v>4</v>
      </c>
      <c r="BI32" s="358">
        <f t="shared" si="4"/>
        <v>0</v>
      </c>
    </row>
    <row r="33" spans="1:61" ht="37.5" customHeight="1" thickBot="1">
      <c r="A33" s="1113"/>
      <c r="B33" s="1114"/>
      <c r="C33" s="316">
        <f t="shared" si="5"/>
        <v>26</v>
      </c>
      <c r="D33" s="302" t="s">
        <v>53</v>
      </c>
      <c r="E33" s="273"/>
      <c r="F33" s="208"/>
      <c r="G33" s="163">
        <f aca="true" t="shared" si="25" ref="G33:G43">IF(E33="","",ROUND(E33/F33,4))</f>
      </c>
      <c r="H33" s="128">
        <f t="shared" si="18"/>
      </c>
      <c r="I33" s="680">
        <v>1</v>
      </c>
      <c r="J33" s="147">
        <f t="shared" si="12"/>
      </c>
      <c r="K33" s="38">
        <f aca="true" t="shared" si="26" ref="K33:K43">IF($G33&lt;$R33%,$K$5,"")</f>
      </c>
      <c r="L33" s="39">
        <f aca="true" t="shared" si="27" ref="L33:L43">IF(AND($G33&lt;$T33%,$G33&gt;$Q33%),$L$5,"")</f>
      </c>
      <c r="M33" s="39">
        <f aca="true" t="shared" si="28" ref="M33:M43">IF(AND($G33&lt;$V33%,$G33&gt;$S33%),$M$5,"")</f>
      </c>
      <c r="N33" s="39">
        <f aca="true" t="shared" si="29" ref="N33:N43">IF(AND($G33&lt;$X33%,$G33&gt;$U33%),$N$5,"")</f>
      </c>
      <c r="O33" s="39">
        <f aca="true" t="shared" si="30" ref="O33:O43">IF(AND($G33&lt;Y33%,G33&gt;W33%),$O$5,"")</f>
      </c>
      <c r="P33" s="40">
        <v>0</v>
      </c>
      <c r="Q33" s="40">
        <v>19.999</v>
      </c>
      <c r="R33" s="41">
        <v>20</v>
      </c>
      <c r="S33" s="41">
        <v>39.999</v>
      </c>
      <c r="T33" s="41">
        <v>40</v>
      </c>
      <c r="U33" s="41">
        <v>59.999</v>
      </c>
      <c r="V33" s="41">
        <v>60</v>
      </c>
      <c r="W33" s="41">
        <v>79.999</v>
      </c>
      <c r="X33" s="41">
        <v>80</v>
      </c>
      <c r="Y33" s="41">
        <v>10000</v>
      </c>
      <c r="Z33" s="255">
        <f t="shared" si="1"/>
        <v>0</v>
      </c>
      <c r="AA33" s="456"/>
      <c r="AB33" s="457" t="s">
        <v>220</v>
      </c>
      <c r="AC33" s="422"/>
      <c r="AD33" s="407"/>
      <c r="AE33" s="408"/>
      <c r="AF33" s="348"/>
      <c r="AG33" s="1080" t="s">
        <v>256</v>
      </c>
      <c r="AH33" s="1081"/>
      <c r="AI33" s="1081"/>
      <c r="AJ33" s="1081"/>
      <c r="AK33" s="1081"/>
      <c r="AL33" s="1081"/>
      <c r="AM33" s="1081"/>
      <c r="AN33" s="1081"/>
      <c r="AO33" s="1081"/>
      <c r="AP33" s="1081"/>
      <c r="AQ33" s="1081"/>
      <c r="AR33" s="1081"/>
      <c r="AS33" s="1081"/>
      <c r="AT33" s="1081"/>
      <c r="AU33" s="1081"/>
      <c r="AV33" s="1081"/>
      <c r="AW33" s="1081"/>
      <c r="AX33" s="1081"/>
      <c r="AY33" s="1081"/>
      <c r="AZ33" s="1082"/>
      <c r="BA33" s="356"/>
      <c r="BF33">
        <v>4</v>
      </c>
      <c r="BG33" s="358">
        <f t="shared" si="2"/>
        <v>1</v>
      </c>
      <c r="BH33">
        <f t="shared" si="3"/>
        <v>4</v>
      </c>
      <c r="BI33" s="358">
        <f t="shared" si="4"/>
        <v>0</v>
      </c>
    </row>
    <row r="34" spans="1:63" ht="60" customHeight="1" thickBot="1">
      <c r="A34" s="1113"/>
      <c r="B34" s="1114"/>
      <c r="C34" s="316">
        <f t="shared" si="5"/>
        <v>27</v>
      </c>
      <c r="D34" s="302" t="s">
        <v>54</v>
      </c>
      <c r="E34" s="273"/>
      <c r="F34" s="209">
        <f>+$E$27</f>
        <v>0</v>
      </c>
      <c r="G34" s="163">
        <f t="shared" si="25"/>
      </c>
      <c r="H34" s="128">
        <f t="shared" si="18"/>
      </c>
      <c r="I34" s="680">
        <v>1</v>
      </c>
      <c r="J34" s="147">
        <f t="shared" si="12"/>
      </c>
      <c r="K34" s="38">
        <f t="shared" si="26"/>
      </c>
      <c r="L34" s="39">
        <f t="shared" si="27"/>
      </c>
      <c r="M34" s="39">
        <f t="shared" si="28"/>
      </c>
      <c r="N34" s="39">
        <f t="shared" si="29"/>
      </c>
      <c r="O34" s="39">
        <f t="shared" si="30"/>
      </c>
      <c r="P34" s="40">
        <v>0</v>
      </c>
      <c r="Q34" s="40">
        <v>0</v>
      </c>
      <c r="R34" s="41">
        <v>0.0001</v>
      </c>
      <c r="S34" s="41">
        <v>9.9999</v>
      </c>
      <c r="T34" s="41">
        <v>10</v>
      </c>
      <c r="U34" s="41">
        <v>19.9999</v>
      </c>
      <c r="V34" s="41">
        <v>20</v>
      </c>
      <c r="W34" s="41">
        <v>29.9999</v>
      </c>
      <c r="X34" s="41">
        <v>30</v>
      </c>
      <c r="Y34" s="41">
        <v>10000</v>
      </c>
      <c r="Z34" s="255">
        <f t="shared" si="1"/>
        <v>0</v>
      </c>
      <c r="AA34" s="458"/>
      <c r="AB34" s="459" t="s">
        <v>220</v>
      </c>
      <c r="AC34" s="460"/>
      <c r="AD34" s="407"/>
      <c r="AE34" s="408"/>
      <c r="AF34" s="348"/>
      <c r="AG34" s="1061" t="s">
        <v>257</v>
      </c>
      <c r="AH34" s="1091"/>
      <c r="AI34" s="1091"/>
      <c r="AJ34" s="1091"/>
      <c r="AK34" s="1091"/>
      <c r="AL34" s="1091"/>
      <c r="AM34" s="1091"/>
      <c r="AN34" s="1091"/>
      <c r="AO34" s="1091"/>
      <c r="AP34" s="1091"/>
      <c r="AQ34" s="1091"/>
      <c r="AR34" s="1091"/>
      <c r="AS34" s="1091"/>
      <c r="AT34" s="1091"/>
      <c r="AU34" s="1091"/>
      <c r="AV34" s="1091"/>
      <c r="AW34" s="1091"/>
      <c r="AX34" s="1091"/>
      <c r="AY34" s="1091"/>
      <c r="AZ34" s="1092"/>
      <c r="BA34" s="357">
        <f aca="true" t="shared" si="31" ref="BA34:BA43">IF(E34&gt;F34,"ERROR INPUT","")</f>
      </c>
      <c r="BF34">
        <v>4</v>
      </c>
      <c r="BG34" s="358">
        <f t="shared" si="2"/>
        <v>1</v>
      </c>
      <c r="BH34">
        <f t="shared" si="3"/>
        <v>4</v>
      </c>
      <c r="BI34" s="358">
        <f t="shared" si="4"/>
        <v>0</v>
      </c>
      <c r="BJ34" s="358">
        <f>SUM(BH26:BH34)</f>
        <v>36</v>
      </c>
      <c r="BK34" s="358">
        <f>SUM(BI26:BI34)</f>
        <v>0</v>
      </c>
    </row>
    <row r="35" spans="1:61" ht="37.5" customHeight="1" thickBot="1">
      <c r="A35" s="1113"/>
      <c r="B35" s="1034" t="s">
        <v>11</v>
      </c>
      <c r="C35" s="317">
        <f t="shared" si="5"/>
        <v>28</v>
      </c>
      <c r="D35" s="303" t="s">
        <v>55</v>
      </c>
      <c r="E35" s="275"/>
      <c r="F35" s="210"/>
      <c r="G35" s="165">
        <f t="shared" si="25"/>
      </c>
      <c r="H35" s="129">
        <f t="shared" si="18"/>
      </c>
      <c r="I35" s="681">
        <v>3</v>
      </c>
      <c r="J35" s="148">
        <f t="shared" si="12"/>
      </c>
      <c r="K35" s="34">
        <f t="shared" si="26"/>
      </c>
      <c r="L35" s="35">
        <f t="shared" si="27"/>
      </c>
      <c r="M35" s="35">
        <f t="shared" si="28"/>
      </c>
      <c r="N35" s="35">
        <f t="shared" si="29"/>
      </c>
      <c r="O35" s="35">
        <f t="shared" si="30"/>
      </c>
      <c r="P35" s="36">
        <v>0</v>
      </c>
      <c r="Q35" s="36">
        <v>20</v>
      </c>
      <c r="R35" s="37">
        <v>20.0001</v>
      </c>
      <c r="S35" s="37">
        <v>40</v>
      </c>
      <c r="T35" s="37">
        <v>40.0001</v>
      </c>
      <c r="U35" s="37">
        <v>60</v>
      </c>
      <c r="V35" s="37">
        <v>60.0001</v>
      </c>
      <c r="W35" s="37">
        <v>80</v>
      </c>
      <c r="X35" s="37">
        <v>80.0001</v>
      </c>
      <c r="Y35" s="37">
        <v>10000</v>
      </c>
      <c r="Z35" s="255">
        <f t="shared" si="1"/>
        <v>0</v>
      </c>
      <c r="AA35" s="461"/>
      <c r="AB35" s="462" t="s">
        <v>220</v>
      </c>
      <c r="AC35" s="423"/>
      <c r="AD35" s="419"/>
      <c r="AE35" s="408"/>
      <c r="AF35" s="348"/>
      <c r="AG35" s="1061" t="s">
        <v>375</v>
      </c>
      <c r="AH35" s="1091"/>
      <c r="AI35" s="1091"/>
      <c r="AJ35" s="1091"/>
      <c r="AK35" s="1091"/>
      <c r="AL35" s="1091"/>
      <c r="AM35" s="1091"/>
      <c r="AN35" s="1091"/>
      <c r="AO35" s="1091"/>
      <c r="AP35" s="1091"/>
      <c r="AQ35" s="1091"/>
      <c r="AR35" s="1091"/>
      <c r="AS35" s="1091"/>
      <c r="AT35" s="1091"/>
      <c r="AU35" s="1091"/>
      <c r="AV35" s="1091"/>
      <c r="AW35" s="1091"/>
      <c r="AX35" s="1091"/>
      <c r="AY35" s="1091"/>
      <c r="AZ35" s="1092"/>
      <c r="BA35" s="357">
        <f t="shared" si="31"/>
      </c>
      <c r="BF35">
        <v>4</v>
      </c>
      <c r="BG35" s="358">
        <f t="shared" si="2"/>
        <v>3</v>
      </c>
      <c r="BH35">
        <f t="shared" si="3"/>
        <v>12</v>
      </c>
      <c r="BI35" s="358">
        <f t="shared" si="4"/>
        <v>0</v>
      </c>
    </row>
    <row r="36" spans="1:61" ht="37.5" customHeight="1" thickBot="1">
      <c r="A36" s="1113"/>
      <c r="B36" s="1034"/>
      <c r="C36" s="317">
        <f t="shared" si="5"/>
        <v>29</v>
      </c>
      <c r="D36" s="303" t="s">
        <v>56</v>
      </c>
      <c r="E36" s="275"/>
      <c r="F36" s="211">
        <f>+$F$35</f>
        <v>0</v>
      </c>
      <c r="G36" s="165">
        <f t="shared" si="25"/>
      </c>
      <c r="H36" s="129">
        <f t="shared" si="18"/>
      </c>
      <c r="I36" s="681">
        <v>2</v>
      </c>
      <c r="J36" s="148">
        <f t="shared" si="12"/>
      </c>
      <c r="K36" s="34">
        <f t="shared" si="26"/>
      </c>
      <c r="L36" s="35">
        <f t="shared" si="27"/>
      </c>
      <c r="M36" s="35">
        <f t="shared" si="28"/>
      </c>
      <c r="N36" s="35">
        <f t="shared" si="29"/>
      </c>
      <c r="O36" s="35">
        <f t="shared" si="30"/>
      </c>
      <c r="P36" s="36">
        <v>0</v>
      </c>
      <c r="Q36" s="36">
        <v>9.999</v>
      </c>
      <c r="R36" s="37">
        <v>10</v>
      </c>
      <c r="S36" s="37">
        <v>19.999</v>
      </c>
      <c r="T36" s="37">
        <v>20</v>
      </c>
      <c r="U36" s="37">
        <v>29.999</v>
      </c>
      <c r="V36" s="37">
        <v>30</v>
      </c>
      <c r="W36" s="37">
        <v>39.999</v>
      </c>
      <c r="X36" s="37">
        <v>40</v>
      </c>
      <c r="Y36" s="37">
        <v>10000</v>
      </c>
      <c r="Z36" s="255">
        <f t="shared" si="1"/>
        <v>0</v>
      </c>
      <c r="AA36" s="461"/>
      <c r="AB36" s="462" t="s">
        <v>220</v>
      </c>
      <c r="AC36" s="423"/>
      <c r="AD36" s="407">
        <f>IF(+$AD$35&lt;&gt;"",+$AD$35,"")</f>
      </c>
      <c r="AE36" s="408"/>
      <c r="AF36" s="348"/>
      <c r="AG36" s="1061" t="s">
        <v>258</v>
      </c>
      <c r="AH36" s="1091"/>
      <c r="AI36" s="1091"/>
      <c r="AJ36" s="1091"/>
      <c r="AK36" s="1091"/>
      <c r="AL36" s="1091"/>
      <c r="AM36" s="1091"/>
      <c r="AN36" s="1091"/>
      <c r="AO36" s="1091"/>
      <c r="AP36" s="1091"/>
      <c r="AQ36" s="1091"/>
      <c r="AR36" s="1091"/>
      <c r="AS36" s="1091"/>
      <c r="AT36" s="1091"/>
      <c r="AU36" s="1091"/>
      <c r="AV36" s="1091"/>
      <c r="AW36" s="1091"/>
      <c r="AX36" s="1091"/>
      <c r="AY36" s="1091"/>
      <c r="AZ36" s="1092"/>
      <c r="BA36" s="357">
        <f t="shared" si="31"/>
      </c>
      <c r="BF36">
        <v>4</v>
      </c>
      <c r="BG36" s="358">
        <f t="shared" si="2"/>
        <v>2</v>
      </c>
      <c r="BH36">
        <f t="shared" si="3"/>
        <v>8</v>
      </c>
      <c r="BI36" s="358">
        <f t="shared" si="4"/>
        <v>0</v>
      </c>
    </row>
    <row r="37" spans="1:63" ht="37.5" customHeight="1" thickBot="1">
      <c r="A37" s="1113"/>
      <c r="B37" s="1034"/>
      <c r="C37" s="317">
        <f t="shared" si="5"/>
        <v>30</v>
      </c>
      <c r="D37" s="303" t="s">
        <v>57</v>
      </c>
      <c r="E37" s="275"/>
      <c r="F37" s="211">
        <f>+$F$35</f>
        <v>0</v>
      </c>
      <c r="G37" s="165">
        <f t="shared" si="25"/>
      </c>
      <c r="H37" s="129">
        <f t="shared" si="18"/>
      </c>
      <c r="I37" s="681">
        <v>1</v>
      </c>
      <c r="J37" s="148">
        <f t="shared" si="12"/>
      </c>
      <c r="K37" s="34">
        <f t="shared" si="26"/>
      </c>
      <c r="L37" s="35">
        <f t="shared" si="27"/>
      </c>
      <c r="M37" s="35">
        <f t="shared" si="28"/>
      </c>
      <c r="N37" s="35">
        <f t="shared" si="29"/>
      </c>
      <c r="O37" s="35">
        <f t="shared" si="30"/>
      </c>
      <c r="P37" s="36">
        <v>0</v>
      </c>
      <c r="Q37" s="36">
        <v>5E-05</v>
      </c>
      <c r="R37" s="37">
        <v>0.0001</v>
      </c>
      <c r="S37" s="37">
        <v>4.999</v>
      </c>
      <c r="T37" s="37">
        <v>5</v>
      </c>
      <c r="U37" s="37">
        <v>9.999</v>
      </c>
      <c r="V37" s="37">
        <v>10</v>
      </c>
      <c r="W37" s="37">
        <v>14.9999</v>
      </c>
      <c r="X37" s="37">
        <v>15</v>
      </c>
      <c r="Y37" s="37">
        <v>10000</v>
      </c>
      <c r="Z37" s="255">
        <f t="shared" si="1"/>
        <v>0</v>
      </c>
      <c r="AA37" s="461"/>
      <c r="AB37" s="462" t="s">
        <v>220</v>
      </c>
      <c r="AC37" s="423"/>
      <c r="AD37" s="407">
        <f>IF(+$AD$35&lt;&gt;"",+$AD$35,"")</f>
      </c>
      <c r="AE37" s="408"/>
      <c r="AF37" s="348"/>
      <c r="AG37" s="1061" t="s">
        <v>258</v>
      </c>
      <c r="AH37" s="1091"/>
      <c r="AI37" s="1091"/>
      <c r="AJ37" s="1091"/>
      <c r="AK37" s="1091"/>
      <c r="AL37" s="1091"/>
      <c r="AM37" s="1091"/>
      <c r="AN37" s="1091"/>
      <c r="AO37" s="1091"/>
      <c r="AP37" s="1091"/>
      <c r="AQ37" s="1091"/>
      <c r="AR37" s="1091"/>
      <c r="AS37" s="1091"/>
      <c r="AT37" s="1091"/>
      <c r="AU37" s="1091"/>
      <c r="AV37" s="1091"/>
      <c r="AW37" s="1091"/>
      <c r="AX37" s="1091"/>
      <c r="AY37" s="1091"/>
      <c r="AZ37" s="1092"/>
      <c r="BA37" s="357">
        <f t="shared" si="31"/>
      </c>
      <c r="BF37">
        <v>4</v>
      </c>
      <c r="BG37" s="358">
        <f t="shared" si="2"/>
        <v>1</v>
      </c>
      <c r="BH37">
        <f t="shared" si="3"/>
        <v>4</v>
      </c>
      <c r="BI37" s="358">
        <f t="shared" si="4"/>
        <v>0</v>
      </c>
      <c r="BJ37" s="358">
        <f>SUM(BH35:BH37)</f>
        <v>24</v>
      </c>
      <c r="BK37" s="358">
        <f>SUM(BI35:BI37)</f>
        <v>0</v>
      </c>
    </row>
    <row r="38" spans="1:61" ht="57.75" customHeight="1" thickBot="1">
      <c r="A38" s="1108" t="s">
        <v>12</v>
      </c>
      <c r="B38" s="1033" t="s">
        <v>13</v>
      </c>
      <c r="C38" s="318">
        <f t="shared" si="5"/>
        <v>31</v>
      </c>
      <c r="D38" s="304" t="s">
        <v>58</v>
      </c>
      <c r="E38" s="658"/>
      <c r="F38" s="362">
        <f aca="true" t="shared" si="32" ref="F38:F43">+$E$27</f>
        <v>0</v>
      </c>
      <c r="G38" s="166">
        <f t="shared" si="25"/>
      </c>
      <c r="H38" s="130">
        <f t="shared" si="18"/>
      </c>
      <c r="I38" s="682">
        <v>1</v>
      </c>
      <c r="J38" s="149">
        <f t="shared" si="12"/>
      </c>
      <c r="K38" s="44">
        <f t="shared" si="26"/>
      </c>
      <c r="L38" s="45">
        <f t="shared" si="27"/>
      </c>
      <c r="M38" s="45">
        <f t="shared" si="28"/>
      </c>
      <c r="N38" s="45">
        <f t="shared" si="29"/>
      </c>
      <c r="O38" s="45">
        <f t="shared" si="30"/>
      </c>
      <c r="P38" s="46">
        <v>0</v>
      </c>
      <c r="Q38" s="46">
        <v>0</v>
      </c>
      <c r="R38" s="47">
        <v>1E-05</v>
      </c>
      <c r="S38" s="47">
        <v>1.9999</v>
      </c>
      <c r="T38" s="47">
        <v>2</v>
      </c>
      <c r="U38" s="47">
        <v>2.9999</v>
      </c>
      <c r="V38" s="47">
        <v>3</v>
      </c>
      <c r="W38" s="47">
        <v>3.9999</v>
      </c>
      <c r="X38" s="47">
        <v>4</v>
      </c>
      <c r="Y38" s="81">
        <v>10000</v>
      </c>
      <c r="Z38" s="255">
        <f t="shared" si="1"/>
        <v>0</v>
      </c>
      <c r="AA38" s="463"/>
      <c r="AB38" s="464" t="s">
        <v>220</v>
      </c>
      <c r="AC38" s="424"/>
      <c r="AD38" s="419"/>
      <c r="AE38" s="408"/>
      <c r="AF38" s="348"/>
      <c r="AG38" s="1061" t="s">
        <v>259</v>
      </c>
      <c r="AH38" s="1091"/>
      <c r="AI38" s="1091"/>
      <c r="AJ38" s="1091"/>
      <c r="AK38" s="1091"/>
      <c r="AL38" s="1091"/>
      <c r="AM38" s="1091"/>
      <c r="AN38" s="1091"/>
      <c r="AO38" s="1091"/>
      <c r="AP38" s="1091"/>
      <c r="AQ38" s="1091"/>
      <c r="AR38" s="1091"/>
      <c r="AS38" s="1091"/>
      <c r="AT38" s="1091"/>
      <c r="AU38" s="1091"/>
      <c r="AV38" s="1091"/>
      <c r="AW38" s="1091"/>
      <c r="AX38" s="1091"/>
      <c r="AY38" s="1091"/>
      <c r="AZ38" s="1092"/>
      <c r="BA38" s="357">
        <f t="shared" si="31"/>
      </c>
      <c r="BF38">
        <v>4</v>
      </c>
      <c r="BG38" s="358">
        <f t="shared" si="2"/>
        <v>1</v>
      </c>
      <c r="BH38">
        <f t="shared" si="3"/>
        <v>4</v>
      </c>
      <c r="BI38" s="358">
        <f t="shared" si="4"/>
        <v>0</v>
      </c>
    </row>
    <row r="39" spans="1:61" ht="37.5" customHeight="1" thickBot="1">
      <c r="A39" s="1108"/>
      <c r="B39" s="1033"/>
      <c r="C39" s="318">
        <f t="shared" si="5"/>
        <v>32</v>
      </c>
      <c r="D39" s="304" t="s">
        <v>59</v>
      </c>
      <c r="E39" s="658"/>
      <c r="F39" s="212">
        <f t="shared" si="32"/>
        <v>0</v>
      </c>
      <c r="G39" s="166">
        <f t="shared" si="25"/>
      </c>
      <c r="H39" s="130">
        <f t="shared" si="18"/>
      </c>
      <c r="I39" s="682">
        <v>1</v>
      </c>
      <c r="J39" s="149">
        <f t="shared" si="12"/>
      </c>
      <c r="K39" s="44">
        <f t="shared" si="26"/>
      </c>
      <c r="L39" s="45">
        <f t="shared" si="27"/>
      </c>
      <c r="M39" s="45">
        <f t="shared" si="28"/>
      </c>
      <c r="N39" s="45">
        <f t="shared" si="29"/>
      </c>
      <c r="O39" s="45">
        <f t="shared" si="30"/>
      </c>
      <c r="P39" s="46">
        <v>0</v>
      </c>
      <c r="Q39" s="46">
        <v>0</v>
      </c>
      <c r="R39" s="47">
        <v>1E-05</v>
      </c>
      <c r="S39" s="47">
        <v>1.9999</v>
      </c>
      <c r="T39" s="47">
        <v>2</v>
      </c>
      <c r="U39" s="47">
        <v>2.9999</v>
      </c>
      <c r="V39" s="47">
        <v>3</v>
      </c>
      <c r="W39" s="47">
        <v>3.9999</v>
      </c>
      <c r="X39" s="47">
        <v>4</v>
      </c>
      <c r="Y39" s="81">
        <v>10000</v>
      </c>
      <c r="Z39" s="255">
        <f t="shared" si="1"/>
        <v>0</v>
      </c>
      <c r="AA39" s="463"/>
      <c r="AB39" s="464" t="s">
        <v>220</v>
      </c>
      <c r="AC39" s="424"/>
      <c r="AD39" s="407"/>
      <c r="AE39" s="408"/>
      <c r="AF39" s="348"/>
      <c r="AG39" s="1061" t="s">
        <v>260</v>
      </c>
      <c r="AH39" s="1091"/>
      <c r="AI39" s="1091"/>
      <c r="AJ39" s="1091"/>
      <c r="AK39" s="1091"/>
      <c r="AL39" s="1091"/>
      <c r="AM39" s="1091"/>
      <c r="AN39" s="1091"/>
      <c r="AO39" s="1091"/>
      <c r="AP39" s="1091"/>
      <c r="AQ39" s="1091"/>
      <c r="AR39" s="1091"/>
      <c r="AS39" s="1091"/>
      <c r="AT39" s="1091"/>
      <c r="AU39" s="1091"/>
      <c r="AV39" s="1091"/>
      <c r="AW39" s="1091"/>
      <c r="AX39" s="1091"/>
      <c r="AY39" s="1091"/>
      <c r="AZ39" s="1092"/>
      <c r="BA39" s="357">
        <f t="shared" si="31"/>
      </c>
      <c r="BF39">
        <v>4</v>
      </c>
      <c r="BG39" s="358">
        <f t="shared" si="2"/>
        <v>1</v>
      </c>
      <c r="BH39">
        <f t="shared" si="3"/>
        <v>4</v>
      </c>
      <c r="BI39" s="358">
        <f t="shared" si="4"/>
        <v>0</v>
      </c>
    </row>
    <row r="40" spans="1:61" ht="37.5" customHeight="1" thickBot="1">
      <c r="A40" s="1108"/>
      <c r="B40" s="1033"/>
      <c r="C40" s="318">
        <f t="shared" si="5"/>
        <v>33</v>
      </c>
      <c r="D40" s="304" t="s">
        <v>60</v>
      </c>
      <c r="E40" s="658"/>
      <c r="F40" s="212">
        <f t="shared" si="32"/>
        <v>0</v>
      </c>
      <c r="G40" s="166">
        <f t="shared" si="25"/>
      </c>
      <c r="H40" s="130">
        <f t="shared" si="18"/>
      </c>
      <c r="I40" s="682">
        <v>1.5</v>
      </c>
      <c r="J40" s="149">
        <f t="shared" si="12"/>
      </c>
      <c r="K40" s="44">
        <f t="shared" si="26"/>
      </c>
      <c r="L40" s="45">
        <f t="shared" si="27"/>
      </c>
      <c r="M40" s="45">
        <f t="shared" si="28"/>
      </c>
      <c r="N40" s="45">
        <f t="shared" si="29"/>
      </c>
      <c r="O40" s="45">
        <f t="shared" si="30"/>
      </c>
      <c r="P40" s="46">
        <v>0</v>
      </c>
      <c r="Q40" s="46">
        <v>0</v>
      </c>
      <c r="R40" s="47">
        <v>1E-05</v>
      </c>
      <c r="S40" s="47">
        <v>1.9999</v>
      </c>
      <c r="T40" s="47">
        <v>2</v>
      </c>
      <c r="U40" s="47">
        <v>2.9999</v>
      </c>
      <c r="V40" s="47">
        <v>3</v>
      </c>
      <c r="W40" s="47">
        <v>3.9999</v>
      </c>
      <c r="X40" s="47">
        <v>4</v>
      </c>
      <c r="Y40" s="81">
        <v>10000</v>
      </c>
      <c r="Z40" s="255">
        <f t="shared" si="1"/>
        <v>0</v>
      </c>
      <c r="AA40" s="463"/>
      <c r="AB40" s="464" t="s">
        <v>220</v>
      </c>
      <c r="AC40" s="424"/>
      <c r="AD40" s="407"/>
      <c r="AE40" s="408"/>
      <c r="AF40" s="348"/>
      <c r="AG40" s="1061" t="s">
        <v>261</v>
      </c>
      <c r="AH40" s="1091"/>
      <c r="AI40" s="1091"/>
      <c r="AJ40" s="1091"/>
      <c r="AK40" s="1091"/>
      <c r="AL40" s="1091"/>
      <c r="AM40" s="1091"/>
      <c r="AN40" s="1091"/>
      <c r="AO40" s="1091"/>
      <c r="AP40" s="1091"/>
      <c r="AQ40" s="1091"/>
      <c r="AR40" s="1091"/>
      <c r="AS40" s="1091"/>
      <c r="AT40" s="1091"/>
      <c r="AU40" s="1091"/>
      <c r="AV40" s="1091"/>
      <c r="AW40" s="1091"/>
      <c r="AX40" s="1091"/>
      <c r="AY40" s="1091"/>
      <c r="AZ40" s="1092"/>
      <c r="BA40" s="357">
        <f t="shared" si="31"/>
      </c>
      <c r="BF40">
        <v>4</v>
      </c>
      <c r="BG40" s="358">
        <f t="shared" si="2"/>
        <v>1.5</v>
      </c>
      <c r="BH40">
        <f t="shared" si="3"/>
        <v>6</v>
      </c>
      <c r="BI40" s="358">
        <f t="shared" si="4"/>
        <v>0</v>
      </c>
    </row>
    <row r="41" spans="1:61" ht="37.5" customHeight="1" thickBot="1">
      <c r="A41" s="1108"/>
      <c r="B41" s="1033"/>
      <c r="C41" s="318">
        <f t="shared" si="5"/>
        <v>34</v>
      </c>
      <c r="D41" s="304" t="s">
        <v>61</v>
      </c>
      <c r="E41" s="658"/>
      <c r="F41" s="212">
        <f t="shared" si="32"/>
        <v>0</v>
      </c>
      <c r="G41" s="166">
        <f t="shared" si="25"/>
      </c>
      <c r="H41" s="130">
        <f t="shared" si="18"/>
      </c>
      <c r="I41" s="682">
        <v>1</v>
      </c>
      <c r="J41" s="149">
        <f t="shared" si="12"/>
      </c>
      <c r="K41" s="44">
        <f t="shared" si="26"/>
      </c>
      <c r="L41" s="45">
        <f t="shared" si="27"/>
      </c>
      <c r="M41" s="45">
        <f t="shared" si="28"/>
      </c>
      <c r="N41" s="45">
        <f t="shared" si="29"/>
      </c>
      <c r="O41" s="45">
        <f t="shared" si="30"/>
      </c>
      <c r="P41" s="46">
        <v>0</v>
      </c>
      <c r="Q41" s="46">
        <v>0</v>
      </c>
      <c r="R41" s="47">
        <v>1E-05</v>
      </c>
      <c r="S41" s="47">
        <v>1.9999</v>
      </c>
      <c r="T41" s="47">
        <v>2</v>
      </c>
      <c r="U41" s="47">
        <v>2.9999</v>
      </c>
      <c r="V41" s="47">
        <v>3</v>
      </c>
      <c r="W41" s="47">
        <v>3.9999</v>
      </c>
      <c r="X41" s="47">
        <v>4</v>
      </c>
      <c r="Y41" s="81">
        <v>10000</v>
      </c>
      <c r="Z41" s="255">
        <f t="shared" si="1"/>
        <v>0</v>
      </c>
      <c r="AA41" s="463"/>
      <c r="AB41" s="464" t="s">
        <v>220</v>
      </c>
      <c r="AC41" s="424"/>
      <c r="AD41" s="407"/>
      <c r="AE41" s="408"/>
      <c r="AF41" s="348"/>
      <c r="AG41" s="1061" t="s">
        <v>262</v>
      </c>
      <c r="AH41" s="1091"/>
      <c r="AI41" s="1091"/>
      <c r="AJ41" s="1091"/>
      <c r="AK41" s="1091"/>
      <c r="AL41" s="1091"/>
      <c r="AM41" s="1091"/>
      <c r="AN41" s="1091"/>
      <c r="AO41" s="1091"/>
      <c r="AP41" s="1091"/>
      <c r="AQ41" s="1091"/>
      <c r="AR41" s="1091"/>
      <c r="AS41" s="1091"/>
      <c r="AT41" s="1091"/>
      <c r="AU41" s="1091"/>
      <c r="AV41" s="1091"/>
      <c r="AW41" s="1091"/>
      <c r="AX41" s="1091"/>
      <c r="AY41" s="1091"/>
      <c r="AZ41" s="1092"/>
      <c r="BA41" s="357">
        <f t="shared" si="31"/>
      </c>
      <c r="BF41">
        <v>4</v>
      </c>
      <c r="BG41" s="358">
        <f t="shared" si="2"/>
        <v>1</v>
      </c>
      <c r="BH41">
        <f t="shared" si="3"/>
        <v>4</v>
      </c>
      <c r="BI41" s="358">
        <f t="shared" si="4"/>
        <v>0</v>
      </c>
    </row>
    <row r="42" spans="1:61" ht="59.25" customHeight="1" thickBot="1">
      <c r="A42" s="1108"/>
      <c r="B42" s="1033"/>
      <c r="C42" s="318">
        <f t="shared" si="5"/>
        <v>35</v>
      </c>
      <c r="D42" s="304" t="s">
        <v>62</v>
      </c>
      <c r="E42" s="658"/>
      <c r="F42" s="212">
        <f t="shared" si="32"/>
        <v>0</v>
      </c>
      <c r="G42" s="166">
        <f t="shared" si="25"/>
      </c>
      <c r="H42" s="130">
        <f t="shared" si="18"/>
      </c>
      <c r="I42" s="682">
        <v>1</v>
      </c>
      <c r="J42" s="149">
        <f t="shared" si="12"/>
      </c>
      <c r="K42" s="44">
        <f t="shared" si="26"/>
      </c>
      <c r="L42" s="45">
        <f t="shared" si="27"/>
      </c>
      <c r="M42" s="45">
        <f t="shared" si="28"/>
      </c>
      <c r="N42" s="45">
        <f t="shared" si="29"/>
      </c>
      <c r="O42" s="45">
        <f t="shared" si="30"/>
      </c>
      <c r="P42" s="46">
        <v>0</v>
      </c>
      <c r="Q42" s="46">
        <v>0</v>
      </c>
      <c r="R42" s="47">
        <v>1E-05</v>
      </c>
      <c r="S42" s="47">
        <v>9.9999</v>
      </c>
      <c r="T42" s="47">
        <v>10</v>
      </c>
      <c r="U42" s="47">
        <v>19.9999</v>
      </c>
      <c r="V42" s="47">
        <v>20</v>
      </c>
      <c r="W42" s="47">
        <v>29.9999</v>
      </c>
      <c r="X42" s="47">
        <v>30</v>
      </c>
      <c r="Y42" s="81">
        <v>10000</v>
      </c>
      <c r="Z42" s="255">
        <f t="shared" si="1"/>
        <v>0</v>
      </c>
      <c r="AA42" s="463"/>
      <c r="AB42" s="464" t="s">
        <v>220</v>
      </c>
      <c r="AC42" s="424"/>
      <c r="AD42" s="407"/>
      <c r="AE42" s="408"/>
      <c r="AF42" s="348"/>
      <c r="AG42" s="1093" t="s">
        <v>264</v>
      </c>
      <c r="AH42" s="1094"/>
      <c r="AI42" s="1094"/>
      <c r="AJ42" s="1094"/>
      <c r="AK42" s="1094"/>
      <c r="AL42" s="1094"/>
      <c r="AM42" s="1094"/>
      <c r="AN42" s="1094"/>
      <c r="AO42" s="1094"/>
      <c r="AP42" s="1094"/>
      <c r="AQ42" s="1094"/>
      <c r="AR42" s="1094"/>
      <c r="AS42" s="1094"/>
      <c r="AT42" s="1094"/>
      <c r="AU42" s="1094"/>
      <c r="AV42" s="1094"/>
      <c r="AW42" s="1094"/>
      <c r="AX42" s="1094"/>
      <c r="AY42" s="1094"/>
      <c r="AZ42" s="1095"/>
      <c r="BA42" s="357">
        <f t="shared" si="31"/>
      </c>
      <c r="BF42">
        <v>4</v>
      </c>
      <c r="BG42" s="358">
        <f t="shared" si="2"/>
        <v>1</v>
      </c>
      <c r="BH42">
        <f t="shared" si="3"/>
        <v>4</v>
      </c>
      <c r="BI42" s="358">
        <f t="shared" si="4"/>
        <v>0</v>
      </c>
    </row>
    <row r="43" spans="1:61" ht="63" customHeight="1" thickBot="1">
      <c r="A43" s="1108"/>
      <c r="B43" s="1033"/>
      <c r="C43" s="318">
        <f t="shared" si="5"/>
        <v>36</v>
      </c>
      <c r="D43" s="304" t="s">
        <v>63</v>
      </c>
      <c r="E43" s="658"/>
      <c r="F43" s="212">
        <f t="shared" si="32"/>
        <v>0</v>
      </c>
      <c r="G43" s="166">
        <f t="shared" si="25"/>
      </c>
      <c r="H43" s="130">
        <f t="shared" si="18"/>
      </c>
      <c r="I43" s="682">
        <v>1.5</v>
      </c>
      <c r="J43" s="149">
        <f t="shared" si="12"/>
      </c>
      <c r="K43" s="44">
        <f t="shared" si="26"/>
      </c>
      <c r="L43" s="45">
        <f t="shared" si="27"/>
      </c>
      <c r="M43" s="45">
        <f t="shared" si="28"/>
      </c>
      <c r="N43" s="45">
        <f t="shared" si="29"/>
      </c>
      <c r="O43" s="45">
        <f t="shared" si="30"/>
      </c>
      <c r="P43" s="46">
        <v>0</v>
      </c>
      <c r="Q43" s="46">
        <v>0</v>
      </c>
      <c r="R43" s="47">
        <v>1E-05</v>
      </c>
      <c r="S43" s="47">
        <v>19.9999</v>
      </c>
      <c r="T43" s="47">
        <v>20</v>
      </c>
      <c r="U43" s="47">
        <v>29.9999</v>
      </c>
      <c r="V43" s="47">
        <v>30</v>
      </c>
      <c r="W43" s="47">
        <v>39.9999</v>
      </c>
      <c r="X43" s="47">
        <v>40</v>
      </c>
      <c r="Y43" s="81">
        <v>10000</v>
      </c>
      <c r="Z43" s="255">
        <f t="shared" si="1"/>
        <v>0</v>
      </c>
      <c r="AA43" s="463"/>
      <c r="AB43" s="464" t="s">
        <v>220</v>
      </c>
      <c r="AC43" s="424"/>
      <c r="AD43" s="407"/>
      <c r="AE43" s="408"/>
      <c r="AF43" s="348"/>
      <c r="AG43" s="1093" t="s">
        <v>264</v>
      </c>
      <c r="AH43" s="1094"/>
      <c r="AI43" s="1094"/>
      <c r="AJ43" s="1094"/>
      <c r="AK43" s="1094"/>
      <c r="AL43" s="1094"/>
      <c r="AM43" s="1094"/>
      <c r="AN43" s="1094"/>
      <c r="AO43" s="1094"/>
      <c r="AP43" s="1094"/>
      <c r="AQ43" s="1094"/>
      <c r="AR43" s="1094"/>
      <c r="AS43" s="1094"/>
      <c r="AT43" s="1094"/>
      <c r="AU43" s="1094"/>
      <c r="AV43" s="1094"/>
      <c r="AW43" s="1094"/>
      <c r="AX43" s="1094"/>
      <c r="AY43" s="1094"/>
      <c r="AZ43" s="1095"/>
      <c r="BA43" s="357">
        <f t="shared" si="31"/>
      </c>
      <c r="BF43">
        <v>4</v>
      </c>
      <c r="BG43" s="358">
        <f t="shared" si="2"/>
        <v>1.5</v>
      </c>
      <c r="BH43">
        <f t="shared" si="3"/>
        <v>6</v>
      </c>
      <c r="BI43" s="358">
        <f t="shared" si="4"/>
        <v>0</v>
      </c>
    </row>
    <row r="44" spans="1:61" ht="37.5" customHeight="1" thickBot="1">
      <c r="A44" s="1108"/>
      <c r="B44" s="1033"/>
      <c r="C44" s="318">
        <f t="shared" si="5"/>
        <v>37</v>
      </c>
      <c r="D44" s="344" t="s">
        <v>64</v>
      </c>
      <c r="E44" s="1179"/>
      <c r="F44" s="1018"/>
      <c r="G44" s="49">
        <f>+E44</f>
        <v>0</v>
      </c>
      <c r="H44" s="131">
        <f>IF(E44="","",SUM(K44:O44))</f>
      </c>
      <c r="I44" s="682">
        <v>1.5</v>
      </c>
      <c r="J44" s="149">
        <f t="shared" si="12"/>
      </c>
      <c r="K44" s="50">
        <f>IF($E44&lt;$R44,$K$5,"")</f>
        <v>0</v>
      </c>
      <c r="L44" s="50">
        <f>IF(AND($E44&lt;$T44,$E44&gt;$Q44),$L$5,"")</f>
      </c>
      <c r="M44" s="50">
        <f>IF(AND($E44&lt;$V44,$E44&gt;$S44),$M$5,"")</f>
      </c>
      <c r="N44" s="50">
        <f>IF(AND($E44&lt;$X44,$E44&gt;$U44),$N$5,"")</f>
      </c>
      <c r="O44" s="50">
        <f>IF(AND($E44&lt;Y44,E44&gt;W44),$O$5,"")</f>
      </c>
      <c r="P44" s="8">
        <v>0</v>
      </c>
      <c r="Q44" s="8">
        <v>0</v>
      </c>
      <c r="R44" s="8">
        <v>1</v>
      </c>
      <c r="S44" s="8">
        <v>1</v>
      </c>
      <c r="T44" s="8">
        <v>2</v>
      </c>
      <c r="U44" s="8">
        <v>2</v>
      </c>
      <c r="V44" s="8">
        <v>3</v>
      </c>
      <c r="W44" s="8">
        <v>3</v>
      </c>
      <c r="X44" s="8">
        <v>4</v>
      </c>
      <c r="Y44" s="81">
        <v>10000</v>
      </c>
      <c r="Z44" s="255">
        <f t="shared" si="1"/>
        <v>0</v>
      </c>
      <c r="AA44" s="463"/>
      <c r="AB44" s="464" t="s">
        <v>220</v>
      </c>
      <c r="AC44" s="424"/>
      <c r="AD44" s="407"/>
      <c r="AE44" s="408"/>
      <c r="AF44" s="348"/>
      <c r="AG44" s="1061" t="s">
        <v>263</v>
      </c>
      <c r="AH44" s="1091"/>
      <c r="AI44" s="1091"/>
      <c r="AJ44" s="1091"/>
      <c r="AK44" s="1091"/>
      <c r="AL44" s="1091"/>
      <c r="AM44" s="1091"/>
      <c r="AN44" s="1091"/>
      <c r="AO44" s="1091"/>
      <c r="AP44" s="1091"/>
      <c r="AQ44" s="1091"/>
      <c r="AR44" s="1091"/>
      <c r="AS44" s="1091"/>
      <c r="AT44" s="1091"/>
      <c r="AU44" s="1091"/>
      <c r="AV44" s="1091"/>
      <c r="AW44" s="1091"/>
      <c r="AX44" s="1091"/>
      <c r="AY44" s="1091"/>
      <c r="AZ44" s="1092"/>
      <c r="BA44" s="356"/>
      <c r="BF44">
        <v>4</v>
      </c>
      <c r="BG44" s="358">
        <f t="shared" si="2"/>
        <v>1.5</v>
      </c>
      <c r="BH44">
        <f t="shared" si="3"/>
        <v>6</v>
      </c>
      <c r="BI44" s="358">
        <f t="shared" si="4"/>
        <v>0</v>
      </c>
    </row>
    <row r="45" spans="1:61" ht="61.5" customHeight="1" thickBot="1">
      <c r="A45" s="1108"/>
      <c r="B45" s="1033"/>
      <c r="C45" s="318">
        <f t="shared" si="5"/>
        <v>38</v>
      </c>
      <c r="D45" s="304" t="s">
        <v>65</v>
      </c>
      <c r="E45" s="1179"/>
      <c r="F45" s="1018"/>
      <c r="G45" s="49">
        <f>+E45</f>
        <v>0</v>
      </c>
      <c r="H45" s="131">
        <f>IF(E45="","",SUM(K45:O45))</f>
      </c>
      <c r="I45" s="682">
        <v>1.5</v>
      </c>
      <c r="J45" s="149">
        <f t="shared" si="12"/>
      </c>
      <c r="K45" s="50">
        <f>IF($E45&lt;$R45,$K$5,"")</f>
        <v>0</v>
      </c>
      <c r="L45" s="50">
        <f>IF(AND($E45&lt;$T45,$E45&gt;$Q45),$L$5,"")</f>
      </c>
      <c r="M45" s="50">
        <f>IF(AND($E45&lt;$V45,$E45&gt;$S45),$M$5,"")</f>
      </c>
      <c r="N45" s="50">
        <f>IF(AND($E45&lt;$X45,$E45&gt;$U45),$N$5,"")</f>
      </c>
      <c r="O45" s="50">
        <f>IF(AND($E45&lt;Y45,E45&gt;W45),$O$5,"")</f>
      </c>
      <c r="P45" s="8">
        <v>0</v>
      </c>
      <c r="Q45" s="8">
        <v>0</v>
      </c>
      <c r="R45" s="8">
        <v>1</v>
      </c>
      <c r="S45" s="8">
        <v>1</v>
      </c>
      <c r="T45" s="8">
        <v>2</v>
      </c>
      <c r="U45" s="8">
        <v>2</v>
      </c>
      <c r="V45" s="8">
        <v>3</v>
      </c>
      <c r="W45" s="8">
        <v>3</v>
      </c>
      <c r="X45" s="8">
        <v>4</v>
      </c>
      <c r="Y45" s="81">
        <v>10000</v>
      </c>
      <c r="Z45" s="255">
        <f t="shared" si="1"/>
        <v>0</v>
      </c>
      <c r="AA45" s="463"/>
      <c r="AB45" s="464" t="s">
        <v>220</v>
      </c>
      <c r="AC45" s="424"/>
      <c r="AD45" s="407"/>
      <c r="AE45" s="408"/>
      <c r="AF45" s="348"/>
      <c r="AG45" s="1061" t="s">
        <v>265</v>
      </c>
      <c r="AH45" s="1091"/>
      <c r="AI45" s="1091"/>
      <c r="AJ45" s="1091"/>
      <c r="AK45" s="1091"/>
      <c r="AL45" s="1091"/>
      <c r="AM45" s="1091"/>
      <c r="AN45" s="1091"/>
      <c r="AO45" s="1091"/>
      <c r="AP45" s="1091"/>
      <c r="AQ45" s="1091"/>
      <c r="AR45" s="1091"/>
      <c r="AS45" s="1091"/>
      <c r="AT45" s="1091"/>
      <c r="AU45" s="1091"/>
      <c r="AV45" s="1091"/>
      <c r="AW45" s="1091"/>
      <c r="AX45" s="1091"/>
      <c r="AY45" s="1091"/>
      <c r="AZ45" s="1092"/>
      <c r="BA45" s="356"/>
      <c r="BF45">
        <v>4</v>
      </c>
      <c r="BG45" s="358">
        <f t="shared" si="2"/>
        <v>1.5</v>
      </c>
      <c r="BH45">
        <f t="shared" si="3"/>
        <v>6</v>
      </c>
      <c r="BI45" s="358">
        <f t="shared" si="4"/>
        <v>0</v>
      </c>
    </row>
    <row r="46" spans="1:61" ht="63" customHeight="1" thickBot="1">
      <c r="A46" s="1108" t="s">
        <v>12</v>
      </c>
      <c r="B46" s="1033" t="s">
        <v>13</v>
      </c>
      <c r="C46" s="318">
        <f t="shared" si="5"/>
        <v>39</v>
      </c>
      <c r="D46" s="304" t="s">
        <v>66</v>
      </c>
      <c r="E46" s="658"/>
      <c r="F46" s="212">
        <f>+$E$27</f>
        <v>0</v>
      </c>
      <c r="G46" s="166">
        <f>IF(E46="","",ROUND(E46/F46,4))</f>
      </c>
      <c r="H46" s="130">
        <f>IF(OR(E46="",F46="",F46=0),"",SUM(K46:O46))</f>
      </c>
      <c r="I46" s="682">
        <v>1</v>
      </c>
      <c r="J46" s="149">
        <f t="shared" si="12"/>
      </c>
      <c r="K46" s="44">
        <f>IF($G46&lt;$R46%,$K$5,"")</f>
      </c>
      <c r="L46" s="45">
        <f>IF(AND($G46&lt;$T46%,$G46&gt;$Q46%),$L$5,"")</f>
      </c>
      <c r="M46" s="45">
        <f>IF(AND($G46&lt;$V46%,$G46&gt;$S46%),$M$5,"")</f>
      </c>
      <c r="N46" s="45">
        <f>IF(AND($G46&lt;$X46%,$G46&gt;$U46%),$N$5,"")</f>
      </c>
      <c r="O46" s="45">
        <f>IF(AND($G46&lt;Y46%,G46&gt;W46%),$O$5,"")</f>
      </c>
      <c r="P46" s="46">
        <v>0</v>
      </c>
      <c r="Q46" s="46">
        <v>0</v>
      </c>
      <c r="R46" s="47">
        <v>1E-05</v>
      </c>
      <c r="S46" s="47">
        <v>1.9999</v>
      </c>
      <c r="T46" s="47">
        <v>2</v>
      </c>
      <c r="U46" s="47">
        <v>4.9999</v>
      </c>
      <c r="V46" s="47">
        <v>5</v>
      </c>
      <c r="W46" s="47">
        <v>8.9999</v>
      </c>
      <c r="X46" s="47">
        <v>9</v>
      </c>
      <c r="Y46" s="81">
        <v>10000</v>
      </c>
      <c r="Z46" s="255">
        <f t="shared" si="1"/>
        <v>0</v>
      </c>
      <c r="AA46" s="463"/>
      <c r="AB46" s="464" t="s">
        <v>220</v>
      </c>
      <c r="AC46" s="424"/>
      <c r="AD46" s="407"/>
      <c r="AE46" s="408"/>
      <c r="AF46" s="348"/>
      <c r="AG46" s="1061" t="s">
        <v>266</v>
      </c>
      <c r="AH46" s="1091"/>
      <c r="AI46" s="1091"/>
      <c r="AJ46" s="1091"/>
      <c r="AK46" s="1091"/>
      <c r="AL46" s="1091"/>
      <c r="AM46" s="1091"/>
      <c r="AN46" s="1091"/>
      <c r="AO46" s="1091"/>
      <c r="AP46" s="1091"/>
      <c r="AQ46" s="1091"/>
      <c r="AR46" s="1091"/>
      <c r="AS46" s="1091"/>
      <c r="AT46" s="1091"/>
      <c r="AU46" s="1091"/>
      <c r="AV46" s="1091"/>
      <c r="AW46" s="1091"/>
      <c r="AX46" s="1091"/>
      <c r="AY46" s="1091"/>
      <c r="AZ46" s="1092"/>
      <c r="BA46" s="357">
        <f>IF(E46&gt;F46,"ERROR INPUT","")</f>
      </c>
      <c r="BF46">
        <v>4</v>
      </c>
      <c r="BG46" s="358">
        <f t="shared" si="2"/>
        <v>1</v>
      </c>
      <c r="BH46">
        <f t="shared" si="3"/>
        <v>4</v>
      </c>
      <c r="BI46" s="358">
        <f t="shared" si="4"/>
        <v>0</v>
      </c>
    </row>
    <row r="47" spans="1:63" ht="57.75" customHeight="1" thickBot="1">
      <c r="A47" s="1108"/>
      <c r="B47" s="1033"/>
      <c r="C47" s="318">
        <f t="shared" si="5"/>
        <v>40</v>
      </c>
      <c r="D47" s="304" t="s">
        <v>67</v>
      </c>
      <c r="E47" s="1179"/>
      <c r="F47" s="1018"/>
      <c r="G47" s="49">
        <f>+E47</f>
        <v>0</v>
      </c>
      <c r="H47" s="131">
        <f>IF(E47="","",SUM(K47:O47))</f>
      </c>
      <c r="I47" s="682">
        <v>1</v>
      </c>
      <c r="J47" s="149">
        <f t="shared" si="12"/>
      </c>
      <c r="K47" s="50">
        <f>IF($E47&lt;$R47,$K$5,"")</f>
        <v>0</v>
      </c>
      <c r="L47" s="50">
        <f>IF(AND($E47&lt;$T47,$E47&gt;$Q47),$L$5,"")</f>
      </c>
      <c r="M47" s="50">
        <f>IF(AND($E47&lt;$V47,$E47&gt;$S47),$M$5,"")</f>
      </c>
      <c r="N47" s="50">
        <f>IF(AND($E47&lt;$X47,$E47&gt;$U47),$N$5,"")</f>
      </c>
      <c r="O47" s="50">
        <f>IF(AND($E47&lt;Y47,E47&gt;W47),$O$5,"")</f>
      </c>
      <c r="P47" s="8">
        <v>0</v>
      </c>
      <c r="Q47" s="8">
        <v>0</v>
      </c>
      <c r="R47" s="8">
        <v>1</v>
      </c>
      <c r="S47" s="8">
        <v>1</v>
      </c>
      <c r="T47" s="8">
        <v>2</v>
      </c>
      <c r="U47" s="8">
        <v>2</v>
      </c>
      <c r="V47" s="8">
        <v>3</v>
      </c>
      <c r="W47" s="8">
        <v>3</v>
      </c>
      <c r="X47" s="8">
        <v>4</v>
      </c>
      <c r="Y47" s="81">
        <v>10000</v>
      </c>
      <c r="Z47" s="255">
        <f t="shared" si="1"/>
        <v>0</v>
      </c>
      <c r="AA47" s="465"/>
      <c r="AB47" s="466" t="s">
        <v>220</v>
      </c>
      <c r="AC47" s="467"/>
      <c r="AD47" s="407"/>
      <c r="AE47" s="408"/>
      <c r="AF47" s="348"/>
      <c r="AG47" s="1061" t="s">
        <v>267</v>
      </c>
      <c r="AH47" s="1091"/>
      <c r="AI47" s="1091"/>
      <c r="AJ47" s="1091"/>
      <c r="AK47" s="1091"/>
      <c r="AL47" s="1091"/>
      <c r="AM47" s="1091"/>
      <c r="AN47" s="1091"/>
      <c r="AO47" s="1091"/>
      <c r="AP47" s="1091"/>
      <c r="AQ47" s="1091"/>
      <c r="AR47" s="1091"/>
      <c r="AS47" s="1091"/>
      <c r="AT47" s="1091"/>
      <c r="AU47" s="1091"/>
      <c r="AV47" s="1091"/>
      <c r="AW47" s="1091"/>
      <c r="AX47" s="1091"/>
      <c r="AY47" s="1091"/>
      <c r="AZ47" s="1092"/>
      <c r="BA47" s="356"/>
      <c r="BF47">
        <v>4</v>
      </c>
      <c r="BG47" s="358">
        <f t="shared" si="2"/>
        <v>1</v>
      </c>
      <c r="BH47">
        <f t="shared" si="3"/>
        <v>4</v>
      </c>
      <c r="BI47" s="358">
        <f t="shared" si="4"/>
        <v>0</v>
      </c>
      <c r="BJ47" s="358">
        <f>SUM(BH38:BH47)</f>
        <v>48</v>
      </c>
      <c r="BK47" s="358">
        <f>SUM(BI38:BI47)</f>
        <v>0</v>
      </c>
    </row>
    <row r="48" spans="1:61" ht="37.5" customHeight="1" thickBot="1">
      <c r="A48" s="1108"/>
      <c r="B48" s="1040" t="s">
        <v>14</v>
      </c>
      <c r="C48" s="319">
        <f t="shared" si="5"/>
        <v>41</v>
      </c>
      <c r="D48" s="305" t="s">
        <v>68</v>
      </c>
      <c r="E48" s="276"/>
      <c r="F48" s="363">
        <f>+$E$27</f>
        <v>0</v>
      </c>
      <c r="G48" s="167">
        <f>IF(E48="","",ROUND(E48/F48,4))</f>
      </c>
      <c r="H48" s="132">
        <f>IF(OR(E48="",F48="",F48=0),"",SUM(K48:O48))</f>
      </c>
      <c r="I48" s="683">
        <v>1</v>
      </c>
      <c r="J48" s="150">
        <f t="shared" si="12"/>
      </c>
      <c r="K48" s="23">
        <f>IF($G48&lt;$R48%,$K$5,"")</f>
      </c>
      <c r="L48" s="23">
        <f>IF(AND($G48&lt;$T48%,$G48&gt;$Q48%),$L$5,"")</f>
      </c>
      <c r="M48" s="23">
        <f>IF(AND($G48&lt;$V48%,$G48&gt;$S48%),$M$5,"")</f>
      </c>
      <c r="N48" s="23">
        <f>IF(AND($G48&lt;$X48%,$G48&gt;$U48%),$N$5,"")</f>
      </c>
      <c r="O48" s="23">
        <f>IF(AND($G48&lt;Y48%,G48&gt;W48%),$O$5,"")</f>
      </c>
      <c r="P48" s="51">
        <v>0</v>
      </c>
      <c r="Q48" s="51">
        <v>0</v>
      </c>
      <c r="R48" s="52">
        <v>1E-05</v>
      </c>
      <c r="S48" s="52">
        <v>19.9999</v>
      </c>
      <c r="T48" s="52">
        <v>20</v>
      </c>
      <c r="U48" s="52">
        <v>29.9999</v>
      </c>
      <c r="V48" s="52">
        <v>30</v>
      </c>
      <c r="W48" s="52">
        <v>39.9999</v>
      </c>
      <c r="X48" s="52">
        <v>40</v>
      </c>
      <c r="Y48" s="82">
        <v>10000</v>
      </c>
      <c r="Z48" s="255">
        <f t="shared" si="1"/>
        <v>0</v>
      </c>
      <c r="AA48" s="468"/>
      <c r="AB48" s="469" t="s">
        <v>220</v>
      </c>
      <c r="AC48" s="425"/>
      <c r="AD48" s="419"/>
      <c r="AE48" s="408"/>
      <c r="AF48" s="348"/>
      <c r="AG48" s="1061" t="s">
        <v>268</v>
      </c>
      <c r="AH48" s="1091"/>
      <c r="AI48" s="1091"/>
      <c r="AJ48" s="1091"/>
      <c r="AK48" s="1091"/>
      <c r="AL48" s="1091"/>
      <c r="AM48" s="1091"/>
      <c r="AN48" s="1091"/>
      <c r="AO48" s="1091"/>
      <c r="AP48" s="1091"/>
      <c r="AQ48" s="1091"/>
      <c r="AR48" s="1091"/>
      <c r="AS48" s="1091"/>
      <c r="AT48" s="1091"/>
      <c r="AU48" s="1091"/>
      <c r="AV48" s="1091"/>
      <c r="AW48" s="1091"/>
      <c r="AX48" s="1091"/>
      <c r="AY48" s="1091"/>
      <c r="AZ48" s="1092"/>
      <c r="BA48" s="357">
        <f>IF(E48&gt;F48,"ERROR INPUT","")</f>
      </c>
      <c r="BF48">
        <v>4</v>
      </c>
      <c r="BG48" s="358">
        <f t="shared" si="2"/>
        <v>1</v>
      </c>
      <c r="BH48">
        <f t="shared" si="3"/>
        <v>4</v>
      </c>
      <c r="BI48" s="358">
        <f t="shared" si="4"/>
        <v>0</v>
      </c>
    </row>
    <row r="49" spans="1:61" ht="60" customHeight="1" thickBot="1">
      <c r="A49" s="1108"/>
      <c r="B49" s="1040"/>
      <c r="C49" s="319">
        <f t="shared" si="5"/>
        <v>42</v>
      </c>
      <c r="D49" s="305" t="s">
        <v>69</v>
      </c>
      <c r="E49" s="276"/>
      <c r="F49" s="213">
        <f>+$E$27</f>
        <v>0</v>
      </c>
      <c r="G49" s="167">
        <f>IF(E49="","",ROUND(E49/F49,4))</f>
      </c>
      <c r="H49" s="132">
        <f>IF(OR(E49="",F49="",F49=0),"",SUM(K49:O49))</f>
      </c>
      <c r="I49" s="683">
        <v>1</v>
      </c>
      <c r="J49" s="150">
        <f t="shared" si="12"/>
      </c>
      <c r="K49" s="23">
        <f>IF($G49&lt;$R49%,$K$5,"")</f>
      </c>
      <c r="L49" s="23">
        <f>IF(AND($G49&lt;$T49%,$G49&gt;$Q49%),$L$5,"")</f>
      </c>
      <c r="M49" s="23">
        <f>IF(AND($G49&lt;$V49%,$G49&gt;$S49%),$M$5,"")</f>
      </c>
      <c r="N49" s="23">
        <f>IF(AND($G49&lt;$X49%,$G49&gt;$U49%),$N$5,"")</f>
      </c>
      <c r="O49" s="23">
        <f>IF(AND($G49&lt;Y49%,G49&gt;W49%),$O$5,"")</f>
      </c>
      <c r="P49" s="9">
        <v>0</v>
      </c>
      <c r="Q49" s="9">
        <v>0</v>
      </c>
      <c r="R49" s="9">
        <v>1E-05</v>
      </c>
      <c r="S49" s="9">
        <v>0.999</v>
      </c>
      <c r="T49" s="9">
        <v>1</v>
      </c>
      <c r="U49" s="9">
        <v>1.999</v>
      </c>
      <c r="V49" s="9">
        <v>2</v>
      </c>
      <c r="W49" s="9">
        <v>2.999</v>
      </c>
      <c r="X49" s="9">
        <v>3</v>
      </c>
      <c r="Y49" s="82">
        <v>10000</v>
      </c>
      <c r="Z49" s="255">
        <f t="shared" si="1"/>
        <v>0</v>
      </c>
      <c r="AA49" s="468"/>
      <c r="AB49" s="469" t="s">
        <v>220</v>
      </c>
      <c r="AC49" s="425"/>
      <c r="AD49" s="407"/>
      <c r="AE49" s="408"/>
      <c r="AF49" s="348"/>
      <c r="AG49" s="1061" t="s">
        <v>269</v>
      </c>
      <c r="AH49" s="1091"/>
      <c r="AI49" s="1091"/>
      <c r="AJ49" s="1091"/>
      <c r="AK49" s="1091"/>
      <c r="AL49" s="1091"/>
      <c r="AM49" s="1091"/>
      <c r="AN49" s="1091"/>
      <c r="AO49" s="1091"/>
      <c r="AP49" s="1091"/>
      <c r="AQ49" s="1091"/>
      <c r="AR49" s="1091"/>
      <c r="AS49" s="1091"/>
      <c r="AT49" s="1091"/>
      <c r="AU49" s="1091"/>
      <c r="AV49" s="1091"/>
      <c r="AW49" s="1091"/>
      <c r="AX49" s="1091"/>
      <c r="AY49" s="1091"/>
      <c r="AZ49" s="1092"/>
      <c r="BA49" s="357">
        <f>IF(E49&gt;F49,"ERROR INPUT","")</f>
      </c>
      <c r="BF49">
        <v>4</v>
      </c>
      <c r="BG49" s="358">
        <f t="shared" si="2"/>
        <v>1</v>
      </c>
      <c r="BH49">
        <f t="shared" si="3"/>
        <v>4</v>
      </c>
      <c r="BI49" s="358">
        <f t="shared" si="4"/>
        <v>0</v>
      </c>
    </row>
    <row r="50" spans="1:63" ht="58.5" customHeight="1" thickBot="1">
      <c r="A50" s="1108"/>
      <c r="B50" s="1040"/>
      <c r="C50" s="319">
        <f t="shared" si="5"/>
        <v>43</v>
      </c>
      <c r="D50" s="305" t="s">
        <v>70</v>
      </c>
      <c r="E50" s="1180"/>
      <c r="F50" s="1019"/>
      <c r="G50" s="53">
        <f>+E50</f>
        <v>0</v>
      </c>
      <c r="H50" s="133">
        <f>IF(E50="","",SUM(K50:O50))</f>
      </c>
      <c r="I50" s="683">
        <v>1</v>
      </c>
      <c r="J50" s="150">
        <f t="shared" si="12"/>
      </c>
      <c r="K50" s="54">
        <f>IF($E50&lt;$R50,$K$5,"")</f>
        <v>0</v>
      </c>
      <c r="L50" s="54">
        <f>IF(AND($E50&lt;$T50,$E50&gt;$Q50),$L$5,"")</f>
      </c>
      <c r="M50" s="54">
        <f>IF(AND($E50&lt;$V50,$E50&gt;$S50),$M$5,"")</f>
      </c>
      <c r="N50" s="54">
        <f>IF(AND($E50&lt;$X50,$E50&gt;$U50),$N$5,"")</f>
      </c>
      <c r="O50" s="54">
        <f>IF(AND($E50&lt;Y50,E50&gt;W50),$O$5,"")</f>
      </c>
      <c r="P50" s="9">
        <v>0</v>
      </c>
      <c r="Q50" s="9">
        <v>0</v>
      </c>
      <c r="R50" s="9">
        <v>1</v>
      </c>
      <c r="S50" s="9">
        <v>1</v>
      </c>
      <c r="T50" s="9">
        <v>2</v>
      </c>
      <c r="U50" s="9">
        <v>2</v>
      </c>
      <c r="V50" s="9">
        <v>3</v>
      </c>
      <c r="W50" s="9">
        <v>3</v>
      </c>
      <c r="X50" s="9">
        <v>4</v>
      </c>
      <c r="Y50" s="82">
        <v>10000</v>
      </c>
      <c r="Z50" s="255">
        <f t="shared" si="1"/>
        <v>0</v>
      </c>
      <c r="AA50" s="470"/>
      <c r="AB50" s="471" t="s">
        <v>220</v>
      </c>
      <c r="AC50" s="472"/>
      <c r="AD50" s="407"/>
      <c r="AE50" s="408"/>
      <c r="AF50" s="348"/>
      <c r="AG50" s="1061" t="s">
        <v>270</v>
      </c>
      <c r="AH50" s="1091"/>
      <c r="AI50" s="1091"/>
      <c r="AJ50" s="1091"/>
      <c r="AK50" s="1091"/>
      <c r="AL50" s="1091"/>
      <c r="AM50" s="1091"/>
      <c r="AN50" s="1091"/>
      <c r="AO50" s="1091"/>
      <c r="AP50" s="1091"/>
      <c r="AQ50" s="1091"/>
      <c r="AR50" s="1091"/>
      <c r="AS50" s="1091"/>
      <c r="AT50" s="1091"/>
      <c r="AU50" s="1091"/>
      <c r="AV50" s="1091"/>
      <c r="AW50" s="1091"/>
      <c r="AX50" s="1091"/>
      <c r="AY50" s="1091"/>
      <c r="AZ50" s="1092"/>
      <c r="BA50" s="356"/>
      <c r="BF50">
        <v>4</v>
      </c>
      <c r="BG50" s="358">
        <f t="shared" si="2"/>
        <v>1</v>
      </c>
      <c r="BH50">
        <f t="shared" si="3"/>
        <v>4</v>
      </c>
      <c r="BI50" s="358">
        <f t="shared" si="4"/>
        <v>0</v>
      </c>
      <c r="BJ50" s="358">
        <f>SUM(BH48:BH50)</f>
        <v>12</v>
      </c>
      <c r="BK50" s="358">
        <f>SUM(BI48:BI50)</f>
        <v>0</v>
      </c>
    </row>
    <row r="51" spans="1:61" ht="37.5" customHeight="1" thickBot="1">
      <c r="A51" s="1110" t="s">
        <v>15</v>
      </c>
      <c r="B51" s="1109" t="s">
        <v>16</v>
      </c>
      <c r="C51" s="320">
        <f t="shared" si="5"/>
        <v>44</v>
      </c>
      <c r="D51" s="306" t="s">
        <v>71</v>
      </c>
      <c r="E51" s="1174"/>
      <c r="F51" s="1015"/>
      <c r="G51" s="57">
        <f>+E51</f>
        <v>0</v>
      </c>
      <c r="H51" s="134">
        <f>IF(E51="","",SUM(K51:O51))</f>
      </c>
      <c r="I51" s="684">
        <v>0.5</v>
      </c>
      <c r="J51" s="151">
        <f t="shared" si="12"/>
      </c>
      <c r="K51" s="58">
        <f>IF(OR(E51="",E51="NO"),$K$5,"")</f>
        <v>0</v>
      </c>
      <c r="L51" s="58">
        <f>IF(AND($G51&lt;$T51%,$G51&gt;$Q51%),$L$5,"")</f>
      </c>
      <c r="M51" s="58">
        <f>IF(AND($G51&lt;$V51%,$G51&gt;$S51%),$M$5,"")</f>
      </c>
      <c r="N51" s="58">
        <f>IF(AND($G51&lt;$X51%,$G51&gt;$U51%),$N$5,"")</f>
      </c>
      <c r="O51" s="58">
        <f>IF(E51="YES",$O$5,"")</f>
      </c>
      <c r="P51" s="10"/>
      <c r="Q51" s="10"/>
      <c r="R51" s="17"/>
      <c r="S51" s="17"/>
      <c r="T51" s="10"/>
      <c r="U51" s="10"/>
      <c r="V51" s="10"/>
      <c r="W51" s="10"/>
      <c r="X51" s="10"/>
      <c r="Y51" s="10"/>
      <c r="Z51" s="255">
        <f t="shared" si="1"/>
        <v>0</v>
      </c>
      <c r="AA51" s="473"/>
      <c r="AB51" s="474" t="s">
        <v>220</v>
      </c>
      <c r="AC51" s="426"/>
      <c r="AD51" s="419"/>
      <c r="AE51" s="408"/>
      <c r="AF51" s="348"/>
      <c r="AG51" s="1061" t="s">
        <v>273</v>
      </c>
      <c r="AH51" s="1091"/>
      <c r="AI51" s="1091"/>
      <c r="AJ51" s="1091"/>
      <c r="AK51" s="1091"/>
      <c r="AL51" s="1091"/>
      <c r="AM51" s="1091"/>
      <c r="AN51" s="1091"/>
      <c r="AO51" s="1091"/>
      <c r="AP51" s="1091"/>
      <c r="AQ51" s="1091"/>
      <c r="AR51" s="1091"/>
      <c r="AS51" s="1091"/>
      <c r="AT51" s="1091"/>
      <c r="AU51" s="1091"/>
      <c r="AV51" s="1091"/>
      <c r="AW51" s="1091"/>
      <c r="AX51" s="1091"/>
      <c r="AY51" s="1091"/>
      <c r="AZ51" s="1092"/>
      <c r="BA51" s="356"/>
      <c r="BF51">
        <v>4</v>
      </c>
      <c r="BG51" s="358">
        <f t="shared" si="2"/>
        <v>0.5</v>
      </c>
      <c r="BH51">
        <f t="shared" si="3"/>
        <v>2</v>
      </c>
      <c r="BI51" s="358">
        <f t="shared" si="4"/>
        <v>0</v>
      </c>
    </row>
    <row r="52" spans="1:61" ht="37.5" customHeight="1" thickBot="1">
      <c r="A52" s="1110"/>
      <c r="B52" s="1109"/>
      <c r="C52" s="320">
        <f t="shared" si="5"/>
        <v>45</v>
      </c>
      <c r="D52" s="306" t="s">
        <v>72</v>
      </c>
      <c r="E52" s="277">
        <f>+$E$7</f>
        <v>0</v>
      </c>
      <c r="F52" s="660"/>
      <c r="G52" s="168" t="e">
        <f aca="true" t="shared" si="33" ref="G52:G57">IF(E52="","",ROUND(E52/F52,4))</f>
        <v>#DIV/0!</v>
      </c>
      <c r="H52" s="135">
        <f aca="true" t="shared" si="34" ref="H52:H57">IF(OR(E52="",F52="",F52=0),"",SUM(K52:O52))</f>
      </c>
      <c r="I52" s="684">
        <v>1</v>
      </c>
      <c r="J52" s="151">
        <f t="shared" si="12"/>
      </c>
      <c r="K52" s="55" t="e">
        <f>IF($G52&gt;$R52,$K$5,"")</f>
        <v>#DIV/0!</v>
      </c>
      <c r="L52" s="55" t="e">
        <f>IF(AND($G52&gt;$T52,$G52&lt;$Q52),$L$5,"")</f>
        <v>#DIV/0!</v>
      </c>
      <c r="M52" s="55" t="e">
        <f>IF(AND($G52&gt;$V52,$G52&lt;$S52),$M$5,"")</f>
        <v>#DIV/0!</v>
      </c>
      <c r="N52" s="55" t="e">
        <f>IF(AND($G52&gt;$X52,$G52&lt;$U52),$N$5,"")</f>
        <v>#DIV/0!</v>
      </c>
      <c r="O52" s="55" t="e">
        <f>IF(AND($G52&gt;Y52,G52&lt;W52),$O$5,"")</f>
        <v>#DIV/0!</v>
      </c>
      <c r="P52" s="56">
        <v>1000</v>
      </c>
      <c r="Q52" s="56">
        <v>150.0001</v>
      </c>
      <c r="R52" s="56">
        <v>150</v>
      </c>
      <c r="S52" s="56">
        <v>125.0001</v>
      </c>
      <c r="T52" s="56">
        <v>125</v>
      </c>
      <c r="U52" s="56">
        <v>100.0001</v>
      </c>
      <c r="V52" s="56">
        <v>100</v>
      </c>
      <c r="W52" s="56">
        <v>80.0001</v>
      </c>
      <c r="X52" s="56">
        <v>80</v>
      </c>
      <c r="Y52" s="56">
        <v>0.0001</v>
      </c>
      <c r="Z52" s="255">
        <f t="shared" si="1"/>
        <v>0</v>
      </c>
      <c r="AA52" s="473"/>
      <c r="AB52" s="474" t="s">
        <v>220</v>
      </c>
      <c r="AC52" s="426"/>
      <c r="AD52" s="407"/>
      <c r="AE52" s="408"/>
      <c r="AF52" s="348"/>
      <c r="AG52" s="1061" t="s">
        <v>273</v>
      </c>
      <c r="AH52" s="1091"/>
      <c r="AI52" s="1091"/>
      <c r="AJ52" s="1091"/>
      <c r="AK52" s="1091"/>
      <c r="AL52" s="1091"/>
      <c r="AM52" s="1091"/>
      <c r="AN52" s="1091"/>
      <c r="AO52" s="1091"/>
      <c r="AP52" s="1091"/>
      <c r="AQ52" s="1091"/>
      <c r="AR52" s="1091"/>
      <c r="AS52" s="1091"/>
      <c r="AT52" s="1091"/>
      <c r="AU52" s="1091"/>
      <c r="AV52" s="1091"/>
      <c r="AW52" s="1091"/>
      <c r="AX52" s="1091"/>
      <c r="AY52" s="1091"/>
      <c r="AZ52" s="1092"/>
      <c r="BA52" s="356"/>
      <c r="BF52">
        <v>4</v>
      </c>
      <c r="BG52" s="358">
        <f t="shared" si="2"/>
        <v>1</v>
      </c>
      <c r="BH52">
        <f t="shared" si="3"/>
        <v>4</v>
      </c>
      <c r="BI52" s="358">
        <f t="shared" si="4"/>
        <v>0</v>
      </c>
    </row>
    <row r="53" spans="1:61" ht="37.5" customHeight="1" thickBot="1">
      <c r="A53" s="1110"/>
      <c r="B53" s="1109"/>
      <c r="C53" s="320">
        <f t="shared" si="5"/>
        <v>46</v>
      </c>
      <c r="D53" s="306" t="s">
        <v>73</v>
      </c>
      <c r="E53" s="659"/>
      <c r="F53" s="660"/>
      <c r="G53" s="168">
        <f t="shared" si="33"/>
      </c>
      <c r="H53" s="135">
        <f t="shared" si="34"/>
      </c>
      <c r="I53" s="684">
        <v>0.5</v>
      </c>
      <c r="J53" s="151">
        <f t="shared" si="12"/>
      </c>
      <c r="K53" s="55">
        <f>IF($G53&gt;$R53,$K$5,"")</f>
        <v>0</v>
      </c>
      <c r="L53" s="55">
        <f>IF(AND($G53&gt;$T53,$G53&lt;$Q53),$L$5,"")</f>
      </c>
      <c r="M53" s="55">
        <f>IF(AND($G53&gt;$V53,$G53&lt;$S53),$M$5,"")</f>
      </c>
      <c r="N53" s="55">
        <f>IF(AND($G53&gt;$X53,$G53&lt;$U53),$N$5,"")</f>
      </c>
      <c r="O53" s="55">
        <f>IF(AND($G53&gt;Y53,G53&lt;W53),$O$5,"")</f>
      </c>
      <c r="P53" s="56">
        <v>1000</v>
      </c>
      <c r="Q53" s="56">
        <v>150.0001</v>
      </c>
      <c r="R53" s="56">
        <v>150</v>
      </c>
      <c r="S53" s="56">
        <v>120.0001</v>
      </c>
      <c r="T53" s="56">
        <v>120</v>
      </c>
      <c r="U53" s="56">
        <v>90.0001</v>
      </c>
      <c r="V53" s="56">
        <v>90</v>
      </c>
      <c r="W53" s="56">
        <v>60.0001</v>
      </c>
      <c r="X53" s="56">
        <v>60</v>
      </c>
      <c r="Y53" s="56">
        <v>0.0001</v>
      </c>
      <c r="Z53" s="255">
        <f t="shared" si="1"/>
        <v>0</v>
      </c>
      <c r="AA53" s="473"/>
      <c r="AB53" s="474" t="s">
        <v>220</v>
      </c>
      <c r="AC53" s="426"/>
      <c r="AD53" s="407"/>
      <c r="AE53" s="408"/>
      <c r="AF53" s="348"/>
      <c r="AG53" s="1061" t="s">
        <v>274</v>
      </c>
      <c r="AH53" s="1091"/>
      <c r="AI53" s="1091"/>
      <c r="AJ53" s="1091"/>
      <c r="AK53" s="1091"/>
      <c r="AL53" s="1091"/>
      <c r="AM53" s="1091"/>
      <c r="AN53" s="1091"/>
      <c r="AO53" s="1091"/>
      <c r="AP53" s="1091"/>
      <c r="AQ53" s="1091"/>
      <c r="AR53" s="1091"/>
      <c r="AS53" s="1091"/>
      <c r="AT53" s="1091"/>
      <c r="AU53" s="1091"/>
      <c r="AV53" s="1091"/>
      <c r="AW53" s="1091"/>
      <c r="AX53" s="1091"/>
      <c r="AY53" s="1091"/>
      <c r="AZ53" s="1092"/>
      <c r="BA53" s="356"/>
      <c r="BF53">
        <v>4</v>
      </c>
      <c r="BG53" s="358">
        <f t="shared" si="2"/>
        <v>0.5</v>
      </c>
      <c r="BH53">
        <f t="shared" si="3"/>
        <v>2</v>
      </c>
      <c r="BI53" s="358">
        <f t="shared" si="4"/>
        <v>0</v>
      </c>
    </row>
    <row r="54" spans="1:61" ht="37.5" customHeight="1" thickBot="1">
      <c r="A54" s="1110"/>
      <c r="B54" s="1109"/>
      <c r="C54" s="320">
        <f t="shared" si="5"/>
        <v>47</v>
      </c>
      <c r="D54" s="306" t="s">
        <v>74</v>
      </c>
      <c r="E54" s="659"/>
      <c r="F54" s="214">
        <f>+$F$52</f>
        <v>0</v>
      </c>
      <c r="G54" s="168">
        <f t="shared" si="33"/>
      </c>
      <c r="H54" s="135">
        <f t="shared" si="34"/>
      </c>
      <c r="I54" s="684">
        <v>1</v>
      </c>
      <c r="J54" s="151">
        <f t="shared" si="12"/>
      </c>
      <c r="K54" s="71">
        <f>IF($G54&lt;$R54,$K$5,"")</f>
      </c>
      <c r="L54" s="71">
        <f>IF(AND($G54&lt;$T54,$G54&gt;$Q54),$L$5,"")</f>
      </c>
      <c r="M54" s="71">
        <f>IF(AND($G54&lt;$V54,$G54&gt;$S54),$M$5,"")</f>
      </c>
      <c r="N54" s="71">
        <f>IF(AND($G54&lt;$X54,$G54&gt;$U54),$N$5,"")</f>
      </c>
      <c r="O54" s="71">
        <f>IF(AND($G54&lt;Y54,G54&gt;W54),$O$5,"")</f>
      </c>
      <c r="P54" s="10">
        <v>0</v>
      </c>
      <c r="Q54" s="10">
        <v>19.9999</v>
      </c>
      <c r="R54" s="10">
        <v>20</v>
      </c>
      <c r="S54" s="10">
        <v>49.9999</v>
      </c>
      <c r="T54" s="10">
        <v>50</v>
      </c>
      <c r="U54" s="10">
        <v>69.9999</v>
      </c>
      <c r="V54" s="10">
        <v>70</v>
      </c>
      <c r="W54" s="10">
        <v>89.9999</v>
      </c>
      <c r="X54" s="10">
        <v>90</v>
      </c>
      <c r="Y54" s="74">
        <v>10000</v>
      </c>
      <c r="Z54" s="255">
        <f t="shared" si="1"/>
        <v>0</v>
      </c>
      <c r="AA54" s="473"/>
      <c r="AB54" s="474" t="s">
        <v>220</v>
      </c>
      <c r="AC54" s="426"/>
      <c r="AD54" s="407"/>
      <c r="AE54" s="408"/>
      <c r="AF54" s="348"/>
      <c r="AG54" s="1061" t="s">
        <v>275</v>
      </c>
      <c r="AH54" s="1091"/>
      <c r="AI54" s="1091"/>
      <c r="AJ54" s="1091"/>
      <c r="AK54" s="1091"/>
      <c r="AL54" s="1091"/>
      <c r="AM54" s="1091"/>
      <c r="AN54" s="1091"/>
      <c r="AO54" s="1091"/>
      <c r="AP54" s="1091"/>
      <c r="AQ54" s="1091"/>
      <c r="AR54" s="1091"/>
      <c r="AS54" s="1091"/>
      <c r="AT54" s="1091"/>
      <c r="AU54" s="1091"/>
      <c r="AV54" s="1091"/>
      <c r="AW54" s="1091"/>
      <c r="AX54" s="1091"/>
      <c r="AY54" s="1091"/>
      <c r="AZ54" s="1092"/>
      <c r="BA54" s="356"/>
      <c r="BF54">
        <v>4</v>
      </c>
      <c r="BG54" s="358">
        <f t="shared" si="2"/>
        <v>1</v>
      </c>
      <c r="BH54">
        <f t="shared" si="3"/>
        <v>4</v>
      </c>
      <c r="BI54" s="358">
        <f t="shared" si="4"/>
        <v>0</v>
      </c>
    </row>
    <row r="55" spans="1:61" ht="37.5" customHeight="1" thickBot="1">
      <c r="A55" s="1110" t="s">
        <v>15</v>
      </c>
      <c r="B55" s="1109" t="s">
        <v>16</v>
      </c>
      <c r="C55" s="320">
        <f t="shared" si="5"/>
        <v>48</v>
      </c>
      <c r="D55" s="306" t="s">
        <v>75</v>
      </c>
      <c r="E55" s="659"/>
      <c r="F55" s="214">
        <f>+$F$52+$F$53</f>
        <v>0</v>
      </c>
      <c r="G55" s="169">
        <f t="shared" si="33"/>
      </c>
      <c r="H55" s="135">
        <f t="shared" si="34"/>
      </c>
      <c r="I55" s="684">
        <v>0.5</v>
      </c>
      <c r="J55" s="151">
        <f t="shared" si="12"/>
      </c>
      <c r="K55" s="24">
        <f>IF($G55&lt;$R55%,$K$5,"")</f>
      </c>
      <c r="L55" s="24">
        <f>IF(AND($G55&lt;$T55%,$G55&gt;$Q55%),$L$5,"")</f>
      </c>
      <c r="M55" s="24">
        <f>IF(AND($G55&lt;$V55%,$G55&gt;$S55%),$M$5,"")</f>
      </c>
      <c r="N55" s="24">
        <f>IF(AND($G55&lt;$X55%,$G55&gt;$U55%),$N$5,"")</f>
      </c>
      <c r="O55" s="24">
        <f>IF(AND($G55&lt;Y55%,G55&gt;W55%),$O$5,"")</f>
      </c>
      <c r="P55" s="75">
        <v>0</v>
      </c>
      <c r="Q55" s="75">
        <v>20</v>
      </c>
      <c r="R55" s="74">
        <v>20.0001</v>
      </c>
      <c r="S55" s="74">
        <v>40</v>
      </c>
      <c r="T55" s="74">
        <v>40.0001</v>
      </c>
      <c r="U55" s="74">
        <v>60</v>
      </c>
      <c r="V55" s="74">
        <v>60.0001</v>
      </c>
      <c r="W55" s="74">
        <v>80</v>
      </c>
      <c r="X55" s="74">
        <v>80.0001</v>
      </c>
      <c r="Y55" s="74">
        <v>10000</v>
      </c>
      <c r="Z55" s="255">
        <f t="shared" si="1"/>
        <v>0</v>
      </c>
      <c r="AA55" s="473"/>
      <c r="AB55" s="474" t="s">
        <v>220</v>
      </c>
      <c r="AC55" s="426"/>
      <c r="AD55" s="407"/>
      <c r="AE55" s="408"/>
      <c r="AF55" s="348"/>
      <c r="AG55" s="1061" t="s">
        <v>273</v>
      </c>
      <c r="AH55" s="1091"/>
      <c r="AI55" s="1091"/>
      <c r="AJ55" s="1091"/>
      <c r="AK55" s="1091"/>
      <c r="AL55" s="1091"/>
      <c r="AM55" s="1091"/>
      <c r="AN55" s="1091"/>
      <c r="AO55" s="1091"/>
      <c r="AP55" s="1091"/>
      <c r="AQ55" s="1091"/>
      <c r="AR55" s="1091"/>
      <c r="AS55" s="1091"/>
      <c r="AT55" s="1091"/>
      <c r="AU55" s="1091"/>
      <c r="AV55" s="1091"/>
      <c r="AW55" s="1091"/>
      <c r="AX55" s="1091"/>
      <c r="AY55" s="1091"/>
      <c r="AZ55" s="1092"/>
      <c r="BA55" s="357">
        <f>IF(E55&gt;F55,"ERROR INPUT","")</f>
      </c>
      <c r="BF55">
        <v>4</v>
      </c>
      <c r="BG55" s="358">
        <f t="shared" si="2"/>
        <v>0.5</v>
      </c>
      <c r="BH55">
        <f t="shared" si="3"/>
        <v>2</v>
      </c>
      <c r="BI55" s="358">
        <f t="shared" si="4"/>
        <v>0</v>
      </c>
    </row>
    <row r="56" spans="1:61" ht="37.5" customHeight="1" thickBot="1">
      <c r="A56" s="1110"/>
      <c r="B56" s="1109"/>
      <c r="C56" s="320">
        <f t="shared" si="5"/>
        <v>49</v>
      </c>
      <c r="D56" s="306" t="s">
        <v>76</v>
      </c>
      <c r="E56" s="277">
        <f>IF(E10="yes","",+E7-E9)</f>
        <v>0</v>
      </c>
      <c r="F56" s="660"/>
      <c r="G56" s="168" t="e">
        <f t="shared" si="33"/>
        <v>#DIV/0!</v>
      </c>
      <c r="H56" s="135">
        <f t="shared" si="34"/>
      </c>
      <c r="I56" s="684">
        <v>0.5</v>
      </c>
      <c r="J56" s="151">
        <f t="shared" si="12"/>
      </c>
      <c r="K56" s="55" t="e">
        <f>IF($G56&gt;$R56,$K$5,"")</f>
        <v>#DIV/0!</v>
      </c>
      <c r="L56" s="55" t="e">
        <f>IF(AND($G56&gt;$T56,$G56&lt;$Q56),$L$5,"")</f>
        <v>#DIV/0!</v>
      </c>
      <c r="M56" s="55" t="e">
        <f>IF(AND($G56&gt;$V56,$G56&lt;$S56),$M$5,"")</f>
        <v>#DIV/0!</v>
      </c>
      <c r="N56" s="55" t="e">
        <f>IF(AND($G56&gt;$X56,$G56&lt;$U56),$N$5,"")</f>
        <v>#DIV/0!</v>
      </c>
      <c r="O56" s="55" t="e">
        <f>IF(AND($G56&gt;Y56,G56&lt;W56),$O$5,"")</f>
        <v>#DIV/0!</v>
      </c>
      <c r="P56" s="56">
        <v>1000</v>
      </c>
      <c r="Q56" s="56">
        <v>400.0001</v>
      </c>
      <c r="R56" s="56">
        <v>400</v>
      </c>
      <c r="S56" s="56">
        <v>300.001</v>
      </c>
      <c r="T56" s="56">
        <v>300</v>
      </c>
      <c r="U56" s="56">
        <v>200.001</v>
      </c>
      <c r="V56" s="56">
        <v>200</v>
      </c>
      <c r="W56" s="56">
        <v>100.001</v>
      </c>
      <c r="X56" s="56">
        <v>100</v>
      </c>
      <c r="Y56" s="56">
        <v>0.0001</v>
      </c>
      <c r="Z56" s="255">
        <f t="shared" si="1"/>
        <v>0</v>
      </c>
      <c r="AA56" s="473"/>
      <c r="AB56" s="474" t="s">
        <v>220</v>
      </c>
      <c r="AC56" s="426"/>
      <c r="AD56" s="407"/>
      <c r="AE56" s="408"/>
      <c r="AF56" s="348"/>
      <c r="AG56" s="1061" t="s">
        <v>276</v>
      </c>
      <c r="AH56" s="1091"/>
      <c r="AI56" s="1091"/>
      <c r="AJ56" s="1091"/>
      <c r="AK56" s="1091"/>
      <c r="AL56" s="1091"/>
      <c r="AM56" s="1091"/>
      <c r="AN56" s="1091"/>
      <c r="AO56" s="1091"/>
      <c r="AP56" s="1091"/>
      <c r="AQ56" s="1091"/>
      <c r="AR56" s="1091"/>
      <c r="AS56" s="1091"/>
      <c r="AT56" s="1091"/>
      <c r="AU56" s="1091"/>
      <c r="AV56" s="1091"/>
      <c r="AW56" s="1091"/>
      <c r="AX56" s="1091"/>
      <c r="AY56" s="1091"/>
      <c r="AZ56" s="1092"/>
      <c r="BA56" s="356"/>
      <c r="BF56">
        <v>4</v>
      </c>
      <c r="BG56" s="358">
        <f t="shared" si="2"/>
        <v>0.5</v>
      </c>
      <c r="BH56">
        <f t="shared" si="3"/>
        <v>2</v>
      </c>
      <c r="BI56" s="358">
        <f t="shared" si="4"/>
        <v>0</v>
      </c>
    </row>
    <row r="57" spans="1:61" ht="37.5" customHeight="1" thickBot="1">
      <c r="A57" s="1110"/>
      <c r="B57" s="1109"/>
      <c r="C57" s="320">
        <f t="shared" si="5"/>
        <v>50</v>
      </c>
      <c r="D57" s="306" t="s">
        <v>77</v>
      </c>
      <c r="E57" s="277">
        <f>IF(E56="",$E$7,+$E$7-E56)</f>
        <v>0</v>
      </c>
      <c r="F57" s="660"/>
      <c r="G57" s="168" t="e">
        <f t="shared" si="33"/>
        <v>#DIV/0!</v>
      </c>
      <c r="H57" s="135">
        <f t="shared" si="34"/>
      </c>
      <c r="I57" s="684">
        <v>0.5</v>
      </c>
      <c r="J57" s="151">
        <f t="shared" si="12"/>
      </c>
      <c r="K57" s="55" t="e">
        <f>IF($G57&gt;$R57,$K$5,"")</f>
        <v>#DIV/0!</v>
      </c>
      <c r="L57" s="55" t="e">
        <f>IF(AND($G57&gt;$T57,$G57&lt;$Q57),$L$5,"")</f>
        <v>#DIV/0!</v>
      </c>
      <c r="M57" s="55" t="e">
        <f>IF(AND($G57&gt;$V57,$G57&lt;$S57),$M$5,"")</f>
        <v>#DIV/0!</v>
      </c>
      <c r="N57" s="55" t="e">
        <f>IF(AND($G57&gt;$X57,$G57&lt;$U57),$N$5,"")</f>
        <v>#DIV/0!</v>
      </c>
      <c r="O57" s="55" t="e">
        <f>IF(AND($G57&gt;Y57,G57&lt;W57),$O$5,"")</f>
        <v>#DIV/0!</v>
      </c>
      <c r="P57" s="56">
        <v>1000</v>
      </c>
      <c r="Q57" s="56">
        <v>200.001</v>
      </c>
      <c r="R57" s="56">
        <v>200</v>
      </c>
      <c r="S57" s="56">
        <v>150.001</v>
      </c>
      <c r="T57" s="56">
        <v>150</v>
      </c>
      <c r="U57" s="56">
        <v>100.001</v>
      </c>
      <c r="V57" s="56">
        <v>100</v>
      </c>
      <c r="W57" s="56">
        <v>50.001</v>
      </c>
      <c r="X57" s="56">
        <v>50</v>
      </c>
      <c r="Y57" s="56">
        <v>0.0001</v>
      </c>
      <c r="Z57" s="255">
        <f t="shared" si="1"/>
        <v>0</v>
      </c>
      <c r="AA57" s="473"/>
      <c r="AB57" s="474" t="s">
        <v>220</v>
      </c>
      <c r="AC57" s="426"/>
      <c r="AD57" s="407"/>
      <c r="AE57" s="408"/>
      <c r="AF57" s="348"/>
      <c r="AG57" s="1061" t="s">
        <v>276</v>
      </c>
      <c r="AH57" s="1091"/>
      <c r="AI57" s="1091"/>
      <c r="AJ57" s="1091"/>
      <c r="AK57" s="1091"/>
      <c r="AL57" s="1091"/>
      <c r="AM57" s="1091"/>
      <c r="AN57" s="1091"/>
      <c r="AO57" s="1091"/>
      <c r="AP57" s="1091"/>
      <c r="AQ57" s="1091"/>
      <c r="AR57" s="1091"/>
      <c r="AS57" s="1091"/>
      <c r="AT57" s="1091"/>
      <c r="AU57" s="1091"/>
      <c r="AV57" s="1091"/>
      <c r="AW57" s="1091"/>
      <c r="AX57" s="1091"/>
      <c r="AY57" s="1091"/>
      <c r="AZ57" s="1092"/>
      <c r="BA57" s="357"/>
      <c r="BF57">
        <v>4</v>
      </c>
      <c r="BG57" s="358">
        <f t="shared" si="2"/>
        <v>0.5</v>
      </c>
      <c r="BH57">
        <f t="shared" si="3"/>
        <v>2</v>
      </c>
      <c r="BI57" s="358">
        <f t="shared" si="4"/>
        <v>0</v>
      </c>
    </row>
    <row r="58" spans="1:61" ht="37.5" customHeight="1" thickBot="1">
      <c r="A58" s="1110"/>
      <c r="B58" s="1109"/>
      <c r="C58" s="320">
        <f t="shared" si="5"/>
        <v>51</v>
      </c>
      <c r="D58" s="306" t="s">
        <v>78</v>
      </c>
      <c r="E58" s="1174"/>
      <c r="F58" s="1015"/>
      <c r="G58" s="57">
        <f>+E58</f>
        <v>0</v>
      </c>
      <c r="H58" s="134">
        <f>IF(E58="","",SUM(K58:O58))</f>
      </c>
      <c r="I58" s="684">
        <v>1</v>
      </c>
      <c r="J58" s="151">
        <f t="shared" si="12"/>
      </c>
      <c r="K58" s="58">
        <f>IF(OR(E58="",E58="NO"),$K$5,"")</f>
        <v>0</v>
      </c>
      <c r="L58" s="58">
        <f>IF(AND($G58&lt;$T58%,$G58&gt;$Q58%),$L$5,"")</f>
      </c>
      <c r="M58" s="58">
        <f>IF(AND($G58&lt;$V58%,$G58&gt;$S58%),$M$5,"")</f>
      </c>
      <c r="N58" s="58">
        <f>IF(AND($G58&lt;$X58%,$G58&gt;$U58%),$N$5,"")</f>
      </c>
      <c r="O58" s="58">
        <f>IF(E58="YES",$O$5,"")</f>
      </c>
      <c r="P58" s="10"/>
      <c r="Q58" s="10"/>
      <c r="R58" s="17"/>
      <c r="S58" s="17"/>
      <c r="T58" s="10"/>
      <c r="U58" s="10"/>
      <c r="V58" s="10"/>
      <c r="W58" s="10"/>
      <c r="X58" s="10"/>
      <c r="Y58" s="10"/>
      <c r="Z58" s="255">
        <f t="shared" si="1"/>
        <v>0</v>
      </c>
      <c r="AA58" s="473"/>
      <c r="AB58" s="474" t="s">
        <v>220</v>
      </c>
      <c r="AC58" s="426"/>
      <c r="AD58" s="407"/>
      <c r="AE58" s="408"/>
      <c r="AF58" s="348"/>
      <c r="AG58" s="1061" t="s">
        <v>273</v>
      </c>
      <c r="AH58" s="1091"/>
      <c r="AI58" s="1091"/>
      <c r="AJ58" s="1091"/>
      <c r="AK58" s="1091"/>
      <c r="AL58" s="1091"/>
      <c r="AM58" s="1091"/>
      <c r="AN58" s="1091"/>
      <c r="AO58" s="1091"/>
      <c r="AP58" s="1091"/>
      <c r="AQ58" s="1091"/>
      <c r="AR58" s="1091"/>
      <c r="AS58" s="1091"/>
      <c r="AT58" s="1091"/>
      <c r="AU58" s="1091"/>
      <c r="AV58" s="1091"/>
      <c r="AW58" s="1091"/>
      <c r="AX58" s="1091"/>
      <c r="AY58" s="1091"/>
      <c r="AZ58" s="1092"/>
      <c r="BA58" s="356"/>
      <c r="BF58">
        <v>4</v>
      </c>
      <c r="BG58" s="358">
        <f t="shared" si="2"/>
        <v>1</v>
      </c>
      <c r="BH58">
        <f t="shared" si="3"/>
        <v>4</v>
      </c>
      <c r="BI58" s="358">
        <f t="shared" si="4"/>
        <v>0</v>
      </c>
    </row>
    <row r="59" spans="1:61" ht="37.5" customHeight="1" thickBot="1">
      <c r="A59" s="1110"/>
      <c r="B59" s="1109"/>
      <c r="C59" s="320">
        <f t="shared" si="5"/>
        <v>52</v>
      </c>
      <c r="D59" s="306" t="s">
        <v>79</v>
      </c>
      <c r="E59" s="1174"/>
      <c r="F59" s="1015"/>
      <c r="G59" s="57">
        <f>+E59</f>
        <v>0</v>
      </c>
      <c r="H59" s="134">
        <f>IF(E59="","",SUM(K59:O59))</f>
      </c>
      <c r="I59" s="684">
        <v>0.5</v>
      </c>
      <c r="J59" s="151">
        <f t="shared" si="12"/>
      </c>
      <c r="K59" s="58">
        <f>IF(OR(E59="",E59="NO"),$K$5,"")</f>
        <v>0</v>
      </c>
      <c r="L59" s="58">
        <f>IF(AND($G59&lt;$T59%,$G59&gt;$Q59%),$L$5,"")</f>
      </c>
      <c r="M59" s="58">
        <f>IF(AND($G59&lt;$V59%,$G59&gt;$S59%),$M$5,"")</f>
      </c>
      <c r="N59" s="58">
        <f>IF(AND($G59&lt;$X59%,$G59&gt;$U59%),$N$5,"")</f>
      </c>
      <c r="O59" s="58">
        <f>IF(E59="YES",$O$5,"")</f>
      </c>
      <c r="P59" s="10"/>
      <c r="Q59" s="10"/>
      <c r="R59" s="17"/>
      <c r="S59" s="17"/>
      <c r="T59" s="10"/>
      <c r="U59" s="10"/>
      <c r="V59" s="10"/>
      <c r="W59" s="10"/>
      <c r="X59" s="10"/>
      <c r="Y59" s="10"/>
      <c r="Z59" s="255">
        <f t="shared" si="1"/>
        <v>0</v>
      </c>
      <c r="AA59" s="473"/>
      <c r="AB59" s="474" t="s">
        <v>220</v>
      </c>
      <c r="AC59" s="426"/>
      <c r="AD59" s="407"/>
      <c r="AE59" s="408"/>
      <c r="AF59" s="348"/>
      <c r="AG59" s="1061" t="s">
        <v>273</v>
      </c>
      <c r="AH59" s="1091"/>
      <c r="AI59" s="1091"/>
      <c r="AJ59" s="1091"/>
      <c r="AK59" s="1091"/>
      <c r="AL59" s="1091"/>
      <c r="AM59" s="1091"/>
      <c r="AN59" s="1091"/>
      <c r="AO59" s="1091"/>
      <c r="AP59" s="1091"/>
      <c r="AQ59" s="1091"/>
      <c r="AR59" s="1091"/>
      <c r="AS59" s="1091"/>
      <c r="AT59" s="1091"/>
      <c r="AU59" s="1091"/>
      <c r="AV59" s="1091"/>
      <c r="AW59" s="1091"/>
      <c r="AX59" s="1091"/>
      <c r="AY59" s="1091"/>
      <c r="AZ59" s="1092"/>
      <c r="BA59" s="356"/>
      <c r="BF59">
        <v>4</v>
      </c>
      <c r="BG59" s="358">
        <f t="shared" si="2"/>
        <v>0.5</v>
      </c>
      <c r="BH59">
        <f t="shared" si="3"/>
        <v>2</v>
      </c>
      <c r="BI59" s="358">
        <f t="shared" si="4"/>
        <v>0</v>
      </c>
    </row>
    <row r="60" spans="1:61" ht="37.5" customHeight="1" thickBot="1">
      <c r="A60" s="1110"/>
      <c r="B60" s="1109"/>
      <c r="C60" s="320">
        <f t="shared" si="5"/>
        <v>53</v>
      </c>
      <c r="D60" s="306" t="s">
        <v>80</v>
      </c>
      <c r="E60" s="659"/>
      <c r="F60" s="660"/>
      <c r="G60" s="169">
        <f>IF(E60="","",ROUND(E60/F60,4))</f>
      </c>
      <c r="H60" s="134">
        <f>IF(OR(E60="",F60="",F60=0),"",SUM(K60:O60))</f>
      </c>
      <c r="I60" s="684">
        <v>0.5</v>
      </c>
      <c r="J60" s="151">
        <f t="shared" si="12"/>
      </c>
      <c r="K60" s="24">
        <f>IF($G60&lt;$R60%,$K$5,"")</f>
      </c>
      <c r="L60" s="24">
        <f>IF(AND($G60&lt;$T60%,$G60&gt;$Q60%),$L$5,"")</f>
      </c>
      <c r="M60" s="24">
        <f>IF(AND($G60&lt;$V60%,$G60&gt;$S60%),$M$5,"")</f>
      </c>
      <c r="N60" s="24">
        <f>IF(AND($G60&lt;$X60%,$G60&gt;$U60%),$N$5,"")</f>
      </c>
      <c r="O60" s="24">
        <f>IF(AND($G60&lt;Y60%,G60&gt;W60%),$O$5,"")</f>
      </c>
      <c r="P60" s="83">
        <v>0</v>
      </c>
      <c r="Q60" s="83">
        <v>0</v>
      </c>
      <c r="R60" s="84">
        <v>1E-05</v>
      </c>
      <c r="S60" s="74">
        <v>24.9999</v>
      </c>
      <c r="T60" s="74">
        <v>25</v>
      </c>
      <c r="U60" s="74">
        <v>49.9999</v>
      </c>
      <c r="V60" s="74">
        <v>50</v>
      </c>
      <c r="W60" s="74">
        <v>74.9999</v>
      </c>
      <c r="X60" s="74">
        <v>75</v>
      </c>
      <c r="Y60" s="74">
        <v>10000</v>
      </c>
      <c r="Z60" s="255">
        <f t="shared" si="1"/>
        <v>0</v>
      </c>
      <c r="AA60" s="473"/>
      <c r="AB60" s="474" t="s">
        <v>220</v>
      </c>
      <c r="AC60" s="426"/>
      <c r="AD60" s="407"/>
      <c r="AE60" s="408"/>
      <c r="AF60" s="348"/>
      <c r="AG60" s="1061" t="s">
        <v>273</v>
      </c>
      <c r="AH60" s="1091"/>
      <c r="AI60" s="1091"/>
      <c r="AJ60" s="1091"/>
      <c r="AK60" s="1091"/>
      <c r="AL60" s="1091"/>
      <c r="AM60" s="1091"/>
      <c r="AN60" s="1091"/>
      <c r="AO60" s="1091"/>
      <c r="AP60" s="1091"/>
      <c r="AQ60" s="1091"/>
      <c r="AR60" s="1091"/>
      <c r="AS60" s="1091"/>
      <c r="AT60" s="1091"/>
      <c r="AU60" s="1091"/>
      <c r="AV60" s="1091"/>
      <c r="AW60" s="1091"/>
      <c r="AX60" s="1091"/>
      <c r="AY60" s="1091"/>
      <c r="AZ60" s="1092"/>
      <c r="BA60" s="357">
        <f>IF(E60&gt;F60,"ERROR INPUT","")</f>
      </c>
      <c r="BF60">
        <v>4</v>
      </c>
      <c r="BG60" s="358">
        <f t="shared" si="2"/>
        <v>0.5</v>
      </c>
      <c r="BH60">
        <f t="shared" si="3"/>
        <v>2</v>
      </c>
      <c r="BI60" s="358">
        <f t="shared" si="4"/>
        <v>0</v>
      </c>
    </row>
    <row r="61" spans="1:61" ht="37.5" customHeight="1" thickBot="1">
      <c r="A61" s="1110"/>
      <c r="B61" s="1109"/>
      <c r="C61" s="320">
        <f t="shared" si="5"/>
        <v>54</v>
      </c>
      <c r="D61" s="306" t="s">
        <v>81</v>
      </c>
      <c r="E61" s="277">
        <f>+$E$26</f>
        <v>0</v>
      </c>
      <c r="F61" s="660"/>
      <c r="G61" s="168" t="e">
        <f>IF(E61="","",ROUND(E61/F61,4))</f>
        <v>#DIV/0!</v>
      </c>
      <c r="H61" s="135">
        <f>IF(OR(E61="",F61="",F61=0),"",SUM(K61:O61))</f>
      </c>
      <c r="I61" s="684">
        <v>0.5</v>
      </c>
      <c r="J61" s="151">
        <f t="shared" si="12"/>
      </c>
      <c r="K61" s="55" t="e">
        <f>IF($G61&gt;$R61,$K$5,"")</f>
        <v>#DIV/0!</v>
      </c>
      <c r="L61" s="55" t="e">
        <f>IF(AND($G61&gt;$T61,$G61&lt;$Q61),$L$5,"")</f>
        <v>#DIV/0!</v>
      </c>
      <c r="M61" s="55" t="e">
        <f>IF(AND($G61&gt;$V61,$G61&lt;$S61),$M$5,"")</f>
        <v>#DIV/0!</v>
      </c>
      <c r="N61" s="55" t="e">
        <f>IF(AND($G61&gt;$X61,$G61&lt;$U61),$N$5,"")</f>
        <v>#DIV/0!</v>
      </c>
      <c r="O61" s="55" t="e">
        <f>IF(AND($G61&gt;Y61,G61&lt;W61),$O$5,"")</f>
        <v>#DIV/0!</v>
      </c>
      <c r="P61" s="56">
        <v>1000</v>
      </c>
      <c r="Q61" s="56">
        <v>80.0001</v>
      </c>
      <c r="R61" s="56">
        <v>80</v>
      </c>
      <c r="S61" s="56">
        <v>60.0001</v>
      </c>
      <c r="T61" s="56">
        <v>60</v>
      </c>
      <c r="U61" s="56">
        <v>40.0001</v>
      </c>
      <c r="V61" s="56">
        <v>40</v>
      </c>
      <c r="W61" s="56">
        <v>20.0001</v>
      </c>
      <c r="X61" s="56">
        <v>20</v>
      </c>
      <c r="Y61" s="56">
        <v>0.0001</v>
      </c>
      <c r="Z61" s="255">
        <f t="shared" si="1"/>
        <v>0</v>
      </c>
      <c r="AA61" s="473"/>
      <c r="AB61" s="474" t="s">
        <v>220</v>
      </c>
      <c r="AC61" s="426"/>
      <c r="AD61" s="407"/>
      <c r="AE61" s="408"/>
      <c r="AF61" s="348"/>
      <c r="AG61" s="1061" t="s">
        <v>273</v>
      </c>
      <c r="AH61" s="1091"/>
      <c r="AI61" s="1091"/>
      <c r="AJ61" s="1091"/>
      <c r="AK61" s="1091"/>
      <c r="AL61" s="1091"/>
      <c r="AM61" s="1091"/>
      <c r="AN61" s="1091"/>
      <c r="AO61" s="1091"/>
      <c r="AP61" s="1091"/>
      <c r="AQ61" s="1091"/>
      <c r="AR61" s="1091"/>
      <c r="AS61" s="1091"/>
      <c r="AT61" s="1091"/>
      <c r="AU61" s="1091"/>
      <c r="AV61" s="1091"/>
      <c r="AW61" s="1091"/>
      <c r="AX61" s="1091"/>
      <c r="AY61" s="1091"/>
      <c r="AZ61" s="1092"/>
      <c r="BA61" s="356"/>
      <c r="BF61">
        <v>4</v>
      </c>
      <c r="BG61" s="358">
        <f t="shared" si="2"/>
        <v>0.5</v>
      </c>
      <c r="BH61">
        <f t="shared" si="3"/>
        <v>2</v>
      </c>
      <c r="BI61" s="358">
        <f t="shared" si="4"/>
        <v>0</v>
      </c>
    </row>
    <row r="62" spans="1:61" ht="37.5" customHeight="1" thickBot="1">
      <c r="A62" s="1110"/>
      <c r="B62" s="1109"/>
      <c r="C62" s="320">
        <f t="shared" si="5"/>
        <v>55</v>
      </c>
      <c r="D62" s="306" t="s">
        <v>82</v>
      </c>
      <c r="E62" s="1174"/>
      <c r="F62" s="1015"/>
      <c r="G62" s="57">
        <f aca="true" t="shared" si="35" ref="G62:G69">+E62</f>
        <v>0</v>
      </c>
      <c r="H62" s="135">
        <f aca="true" t="shared" si="36" ref="H62:H69">IF(E62="","",SUM(K62:O62))</f>
      </c>
      <c r="I62" s="684">
        <v>0.5</v>
      </c>
      <c r="J62" s="151">
        <f t="shared" si="12"/>
      </c>
      <c r="K62" s="85">
        <f>IF($E62&lt;$R62,$K$5,"")</f>
        <v>0</v>
      </c>
      <c r="L62" s="85">
        <f>IF(AND($E62&lt;$T62,$E62&gt;$Q62),$L$5,"")</f>
      </c>
      <c r="M62" s="85">
        <f>IF(AND($E62&lt;$V62,$E62&gt;$S62),$M$5,"")</f>
      </c>
      <c r="N62" s="85">
        <f>IF(AND($E62&lt;$X62,$E62&gt;$U62),$N$5,"")</f>
      </c>
      <c r="O62" s="85">
        <f>IF(AND($E62&lt;Y62,E62&gt;W62),$O$5,"")</f>
      </c>
      <c r="P62" s="10">
        <v>0</v>
      </c>
      <c r="Q62" s="10">
        <v>0</v>
      </c>
      <c r="R62" s="10">
        <v>1</v>
      </c>
      <c r="S62" s="10">
        <v>5</v>
      </c>
      <c r="T62" s="10">
        <v>6</v>
      </c>
      <c r="U62" s="10">
        <v>10</v>
      </c>
      <c r="V62" s="10">
        <v>11</v>
      </c>
      <c r="W62" s="10">
        <v>20</v>
      </c>
      <c r="X62" s="10">
        <v>21</v>
      </c>
      <c r="Y62" s="74">
        <v>10000</v>
      </c>
      <c r="Z62" s="255">
        <f t="shared" si="1"/>
        <v>0</v>
      </c>
      <c r="AA62" s="473"/>
      <c r="AB62" s="474" t="s">
        <v>220</v>
      </c>
      <c r="AC62" s="426"/>
      <c r="AD62" s="407"/>
      <c r="AE62" s="408"/>
      <c r="AF62" s="348"/>
      <c r="AG62" s="1061" t="s">
        <v>276</v>
      </c>
      <c r="AH62" s="1091"/>
      <c r="AI62" s="1091"/>
      <c r="AJ62" s="1091"/>
      <c r="AK62" s="1091"/>
      <c r="AL62" s="1091"/>
      <c r="AM62" s="1091"/>
      <c r="AN62" s="1091"/>
      <c r="AO62" s="1091"/>
      <c r="AP62" s="1091"/>
      <c r="AQ62" s="1091"/>
      <c r="AR62" s="1091"/>
      <c r="AS62" s="1091"/>
      <c r="AT62" s="1091"/>
      <c r="AU62" s="1091"/>
      <c r="AV62" s="1091"/>
      <c r="AW62" s="1091"/>
      <c r="AX62" s="1091"/>
      <c r="AY62" s="1091"/>
      <c r="AZ62" s="1092"/>
      <c r="BA62" s="356"/>
      <c r="BF62">
        <v>4</v>
      </c>
      <c r="BG62" s="358">
        <f t="shared" si="2"/>
        <v>0.5</v>
      </c>
      <c r="BH62">
        <f t="shared" si="3"/>
        <v>2</v>
      </c>
      <c r="BI62" s="358">
        <f t="shared" si="4"/>
        <v>0</v>
      </c>
    </row>
    <row r="63" spans="1:61" ht="37.5" customHeight="1" thickBot="1">
      <c r="A63" s="1110"/>
      <c r="B63" s="1109"/>
      <c r="C63" s="320">
        <f t="shared" si="5"/>
        <v>56</v>
      </c>
      <c r="D63" s="306" t="s">
        <v>83</v>
      </c>
      <c r="E63" s="1174"/>
      <c r="F63" s="1015"/>
      <c r="G63" s="57">
        <f t="shared" si="35"/>
        <v>0</v>
      </c>
      <c r="H63" s="134">
        <f t="shared" si="36"/>
      </c>
      <c r="I63" s="684">
        <v>0.5</v>
      </c>
      <c r="J63" s="151">
        <f t="shared" si="12"/>
      </c>
      <c r="K63" s="58">
        <f>IF(OR(E63="",E63="NO"),$K$5,"")</f>
        <v>0</v>
      </c>
      <c r="L63" s="58">
        <f>IF(AND($G63&lt;$T63%,$G63&gt;$Q63%),$L$5,"")</f>
      </c>
      <c r="M63" s="58">
        <f>IF(AND($G63&lt;$V63%,$G63&gt;$S63%),$M$5,"")</f>
      </c>
      <c r="N63" s="58">
        <f>IF(AND($G63&lt;$X63%,$G63&gt;$U63%),$N$5,"")</f>
      </c>
      <c r="O63" s="58">
        <f>IF(E63="YES",$O$5,"")</f>
      </c>
      <c r="P63" s="10"/>
      <c r="Q63" s="10"/>
      <c r="R63" s="17"/>
      <c r="S63" s="17"/>
      <c r="T63" s="10"/>
      <c r="U63" s="10"/>
      <c r="V63" s="10"/>
      <c r="W63" s="10"/>
      <c r="X63" s="10"/>
      <c r="Y63" s="10"/>
      <c r="Z63" s="255">
        <f t="shared" si="1"/>
        <v>0</v>
      </c>
      <c r="AA63" s="473"/>
      <c r="AB63" s="474" t="s">
        <v>220</v>
      </c>
      <c r="AC63" s="426"/>
      <c r="AD63" s="407"/>
      <c r="AE63" s="408"/>
      <c r="AF63" s="348"/>
      <c r="AG63" s="1061" t="s">
        <v>273</v>
      </c>
      <c r="AH63" s="1091"/>
      <c r="AI63" s="1091"/>
      <c r="AJ63" s="1091"/>
      <c r="AK63" s="1091"/>
      <c r="AL63" s="1091"/>
      <c r="AM63" s="1091"/>
      <c r="AN63" s="1091"/>
      <c r="AO63" s="1091"/>
      <c r="AP63" s="1091"/>
      <c r="AQ63" s="1091"/>
      <c r="AR63" s="1091"/>
      <c r="AS63" s="1091"/>
      <c r="AT63" s="1091"/>
      <c r="AU63" s="1091"/>
      <c r="AV63" s="1091"/>
      <c r="AW63" s="1091"/>
      <c r="AX63" s="1091"/>
      <c r="AY63" s="1091"/>
      <c r="AZ63" s="1092"/>
      <c r="BA63" s="356"/>
      <c r="BF63">
        <v>4</v>
      </c>
      <c r="BG63" s="358">
        <f t="shared" si="2"/>
        <v>0.5</v>
      </c>
      <c r="BH63">
        <f t="shared" si="3"/>
        <v>2</v>
      </c>
      <c r="BI63" s="358">
        <f t="shared" si="4"/>
        <v>0</v>
      </c>
    </row>
    <row r="64" spans="1:61" ht="37.5" customHeight="1" thickBot="1">
      <c r="A64" s="1110"/>
      <c r="B64" s="1109"/>
      <c r="C64" s="320">
        <f t="shared" si="5"/>
        <v>57</v>
      </c>
      <c r="D64" s="306" t="s">
        <v>84</v>
      </c>
      <c r="E64" s="1174"/>
      <c r="F64" s="1015"/>
      <c r="G64" s="57">
        <f t="shared" si="35"/>
        <v>0</v>
      </c>
      <c r="H64" s="134">
        <f t="shared" si="36"/>
      </c>
      <c r="I64" s="684">
        <v>1</v>
      </c>
      <c r="J64" s="151">
        <f t="shared" si="12"/>
      </c>
      <c r="K64" s="58">
        <f>IF(OR(E64="",E64="NO"),$K$5,"")</f>
        <v>0</v>
      </c>
      <c r="L64" s="58">
        <f>IF(AND($G64&lt;$T64%,$G64&gt;$Q64%),$L$5,"")</f>
      </c>
      <c r="M64" s="58">
        <f>IF(AND($G64&lt;$V64%,$G64&gt;$S64%),$M$5,"")</f>
      </c>
      <c r="N64" s="58">
        <f>IF(AND($G64&lt;$X64%,$G64&gt;$U64%),$N$5,"")</f>
      </c>
      <c r="O64" s="58">
        <f>IF(E64="YES",$O$5,"")</f>
      </c>
      <c r="P64" s="10"/>
      <c r="Q64" s="10"/>
      <c r="R64" s="17"/>
      <c r="S64" s="17"/>
      <c r="T64" s="10"/>
      <c r="U64" s="10"/>
      <c r="V64" s="10"/>
      <c r="W64" s="10"/>
      <c r="X64" s="10"/>
      <c r="Y64" s="10"/>
      <c r="Z64" s="255">
        <f t="shared" si="1"/>
        <v>0</v>
      </c>
      <c r="AA64" s="473"/>
      <c r="AB64" s="474" t="s">
        <v>220</v>
      </c>
      <c r="AC64" s="426"/>
      <c r="AD64" s="407"/>
      <c r="AE64" s="408"/>
      <c r="AF64" s="348"/>
      <c r="AG64" s="1061" t="s">
        <v>277</v>
      </c>
      <c r="AH64" s="1091"/>
      <c r="AI64" s="1091"/>
      <c r="AJ64" s="1091"/>
      <c r="AK64" s="1091"/>
      <c r="AL64" s="1091"/>
      <c r="AM64" s="1091"/>
      <c r="AN64" s="1091"/>
      <c r="AO64" s="1091"/>
      <c r="AP64" s="1091"/>
      <c r="AQ64" s="1091"/>
      <c r="AR64" s="1091"/>
      <c r="AS64" s="1091"/>
      <c r="AT64" s="1091"/>
      <c r="AU64" s="1091"/>
      <c r="AV64" s="1091"/>
      <c r="AW64" s="1091"/>
      <c r="AX64" s="1091"/>
      <c r="AY64" s="1091"/>
      <c r="AZ64" s="1092"/>
      <c r="BA64" s="356"/>
      <c r="BF64">
        <v>4</v>
      </c>
      <c r="BG64" s="358">
        <f t="shared" si="2"/>
        <v>1</v>
      </c>
      <c r="BH64">
        <f t="shared" si="3"/>
        <v>4</v>
      </c>
      <c r="BI64" s="358">
        <f t="shared" si="4"/>
        <v>0</v>
      </c>
    </row>
    <row r="65" spans="1:61" ht="37.5" customHeight="1" thickBot="1">
      <c r="A65" s="1110"/>
      <c r="B65" s="1109"/>
      <c r="C65" s="320">
        <f t="shared" si="5"/>
        <v>58</v>
      </c>
      <c r="D65" s="306" t="s">
        <v>85</v>
      </c>
      <c r="E65" s="1174"/>
      <c r="F65" s="1015"/>
      <c r="G65" s="57">
        <f t="shared" si="35"/>
        <v>0</v>
      </c>
      <c r="H65" s="134">
        <f t="shared" si="36"/>
      </c>
      <c r="I65" s="684">
        <v>0.5</v>
      </c>
      <c r="J65" s="151">
        <f t="shared" si="12"/>
      </c>
      <c r="K65" s="58">
        <f>IF(OR(E65="",E65="NO"),$K$5,"")</f>
        <v>0</v>
      </c>
      <c r="L65" s="58">
        <f>IF(AND($G65&lt;$T65%,$G65&gt;$Q65%),$L$5,"")</f>
      </c>
      <c r="M65" s="58">
        <f>IF(AND($G65&lt;$V65%,$G65&gt;$S65%),$M$5,"")</f>
      </c>
      <c r="N65" s="58">
        <f>IF(AND($G65&lt;$X65%,$G65&gt;$U65%),$N$5,"")</f>
      </c>
      <c r="O65" s="58">
        <f>IF(E65="YES",$O$5,"")</f>
      </c>
      <c r="P65" s="10"/>
      <c r="Q65" s="10"/>
      <c r="R65" s="17"/>
      <c r="S65" s="17"/>
      <c r="T65" s="10"/>
      <c r="U65" s="10"/>
      <c r="V65" s="10"/>
      <c r="W65" s="10"/>
      <c r="X65" s="10"/>
      <c r="Y65" s="10"/>
      <c r="Z65" s="255">
        <f t="shared" si="1"/>
        <v>0</v>
      </c>
      <c r="AA65" s="473"/>
      <c r="AB65" s="474" t="s">
        <v>220</v>
      </c>
      <c r="AC65" s="426"/>
      <c r="AD65" s="407"/>
      <c r="AE65" s="408"/>
      <c r="AF65" s="348"/>
      <c r="AG65" s="1061" t="s">
        <v>278</v>
      </c>
      <c r="AH65" s="1091"/>
      <c r="AI65" s="1091"/>
      <c r="AJ65" s="1091"/>
      <c r="AK65" s="1091"/>
      <c r="AL65" s="1091"/>
      <c r="AM65" s="1091"/>
      <c r="AN65" s="1091"/>
      <c r="AO65" s="1091"/>
      <c r="AP65" s="1091"/>
      <c r="AQ65" s="1091"/>
      <c r="AR65" s="1091"/>
      <c r="AS65" s="1091"/>
      <c r="AT65" s="1091"/>
      <c r="AU65" s="1091"/>
      <c r="AV65" s="1091"/>
      <c r="AW65" s="1091"/>
      <c r="AX65" s="1091"/>
      <c r="AY65" s="1091"/>
      <c r="AZ65" s="1092"/>
      <c r="BA65" s="356"/>
      <c r="BF65">
        <v>4</v>
      </c>
      <c r="BG65" s="358">
        <f t="shared" si="2"/>
        <v>0.5</v>
      </c>
      <c r="BH65">
        <f t="shared" si="3"/>
        <v>2</v>
      </c>
      <c r="BI65" s="358">
        <f t="shared" si="4"/>
        <v>0</v>
      </c>
    </row>
    <row r="66" spans="1:61" ht="37.5" customHeight="1" thickBot="1">
      <c r="A66" s="1110" t="s">
        <v>15</v>
      </c>
      <c r="B66" s="1109" t="s">
        <v>16</v>
      </c>
      <c r="C66" s="320">
        <f t="shared" si="5"/>
        <v>59</v>
      </c>
      <c r="D66" s="306" t="s">
        <v>86</v>
      </c>
      <c r="E66" s="1174"/>
      <c r="F66" s="1015"/>
      <c r="G66" s="57">
        <f t="shared" si="35"/>
        <v>0</v>
      </c>
      <c r="H66" s="134">
        <f t="shared" si="36"/>
      </c>
      <c r="I66" s="684">
        <v>0.5</v>
      </c>
      <c r="J66" s="151">
        <f t="shared" si="12"/>
      </c>
      <c r="K66" s="58">
        <f>IF(OR(E66="",E66="NO"),$K$5,"")</f>
        <v>0</v>
      </c>
      <c r="L66" s="58">
        <f>IF(AND($G66&lt;$T66%,$G66&gt;$Q66%),$L$5,"")</f>
      </c>
      <c r="M66" s="58">
        <f>IF(AND($G66&lt;$V66%,$G66&gt;$S66%),$M$5,"")</f>
      </c>
      <c r="N66" s="58">
        <f>IF(AND($G66&lt;$X66%,$G66&gt;$U66%),$N$5,"")</f>
      </c>
      <c r="O66" s="58">
        <f>IF(E66="YES",$O$5,"")</f>
      </c>
      <c r="P66" s="10"/>
      <c r="Q66" s="10"/>
      <c r="R66" s="17"/>
      <c r="S66" s="17"/>
      <c r="T66" s="10"/>
      <c r="U66" s="10"/>
      <c r="V66" s="10"/>
      <c r="W66" s="10"/>
      <c r="X66" s="10"/>
      <c r="Y66" s="10"/>
      <c r="Z66" s="255">
        <f t="shared" si="1"/>
        <v>0</v>
      </c>
      <c r="AA66" s="473"/>
      <c r="AB66" s="474" t="s">
        <v>220</v>
      </c>
      <c r="AC66" s="426"/>
      <c r="AD66" s="407"/>
      <c r="AE66" s="408"/>
      <c r="AF66" s="348"/>
      <c r="AG66" s="1061" t="s">
        <v>279</v>
      </c>
      <c r="AH66" s="1091"/>
      <c r="AI66" s="1091"/>
      <c r="AJ66" s="1091"/>
      <c r="AK66" s="1091"/>
      <c r="AL66" s="1091"/>
      <c r="AM66" s="1091"/>
      <c r="AN66" s="1091"/>
      <c r="AO66" s="1091"/>
      <c r="AP66" s="1091"/>
      <c r="AQ66" s="1091"/>
      <c r="AR66" s="1091"/>
      <c r="AS66" s="1091"/>
      <c r="AT66" s="1091"/>
      <c r="AU66" s="1091"/>
      <c r="AV66" s="1091"/>
      <c r="AW66" s="1091"/>
      <c r="AX66" s="1091"/>
      <c r="AY66" s="1091"/>
      <c r="AZ66" s="1092"/>
      <c r="BA66" s="356"/>
      <c r="BF66">
        <v>4</v>
      </c>
      <c r="BG66" s="358">
        <f t="shared" si="2"/>
        <v>0.5</v>
      </c>
      <c r="BH66">
        <f t="shared" si="3"/>
        <v>2</v>
      </c>
      <c r="BI66" s="358">
        <f t="shared" si="4"/>
        <v>0</v>
      </c>
    </row>
    <row r="67" spans="1:61" ht="37.5" customHeight="1" thickBot="1">
      <c r="A67" s="1110"/>
      <c r="B67" s="1109"/>
      <c r="C67" s="320">
        <f t="shared" si="5"/>
        <v>60</v>
      </c>
      <c r="D67" s="306" t="s">
        <v>87</v>
      </c>
      <c r="E67" s="1174"/>
      <c r="F67" s="1015"/>
      <c r="G67" s="57">
        <f t="shared" si="35"/>
        <v>0</v>
      </c>
      <c r="H67" s="134">
        <f t="shared" si="36"/>
      </c>
      <c r="I67" s="684">
        <v>0.5</v>
      </c>
      <c r="J67" s="151">
        <f t="shared" si="12"/>
      </c>
      <c r="K67" s="58">
        <f>IF(OR(E67="",E67="NO"),$K$5,"")</f>
        <v>0</v>
      </c>
      <c r="L67" s="58">
        <f>IF(AND($G67&lt;$T67%,$G67&gt;$Q67%),$L$5,"")</f>
      </c>
      <c r="M67" s="58">
        <f>IF(AND($G67&lt;$V67%,$G67&gt;$S67%),$M$5,"")</f>
      </c>
      <c r="N67" s="58">
        <f>IF(AND($G67&lt;$X67%,$G67&gt;$U67%),$N$5,"")</f>
      </c>
      <c r="O67" s="58">
        <f>IF(E67="YES",$O$5,"")</f>
      </c>
      <c r="P67" s="10"/>
      <c r="Q67" s="10"/>
      <c r="R67" s="17"/>
      <c r="S67" s="17"/>
      <c r="T67" s="10"/>
      <c r="U67" s="10"/>
      <c r="V67" s="10"/>
      <c r="W67" s="10"/>
      <c r="X67" s="10"/>
      <c r="Y67" s="10"/>
      <c r="Z67" s="255">
        <f t="shared" si="1"/>
        <v>0</v>
      </c>
      <c r="AA67" s="473"/>
      <c r="AB67" s="474" t="s">
        <v>220</v>
      </c>
      <c r="AC67" s="426"/>
      <c r="AD67" s="407"/>
      <c r="AE67" s="408"/>
      <c r="AF67" s="348"/>
      <c r="AG67" s="1061" t="s">
        <v>280</v>
      </c>
      <c r="AH67" s="1091"/>
      <c r="AI67" s="1091"/>
      <c r="AJ67" s="1091"/>
      <c r="AK67" s="1091"/>
      <c r="AL67" s="1091"/>
      <c r="AM67" s="1091"/>
      <c r="AN67" s="1091"/>
      <c r="AO67" s="1091"/>
      <c r="AP67" s="1091"/>
      <c r="AQ67" s="1091"/>
      <c r="AR67" s="1091"/>
      <c r="AS67" s="1091"/>
      <c r="AT67" s="1091"/>
      <c r="AU67" s="1091"/>
      <c r="AV67" s="1091"/>
      <c r="AW67" s="1091"/>
      <c r="AX67" s="1091"/>
      <c r="AY67" s="1091"/>
      <c r="AZ67" s="1092"/>
      <c r="BA67" s="356"/>
      <c r="BF67">
        <v>4</v>
      </c>
      <c r="BG67" s="358">
        <f t="shared" si="2"/>
        <v>0.5</v>
      </c>
      <c r="BH67">
        <f t="shared" si="3"/>
        <v>2</v>
      </c>
      <c r="BI67" s="358">
        <f t="shared" si="4"/>
        <v>0</v>
      </c>
    </row>
    <row r="68" spans="1:61" ht="37.5" customHeight="1" thickBot="1">
      <c r="A68" s="1110"/>
      <c r="B68" s="1109"/>
      <c r="C68" s="320">
        <f t="shared" si="5"/>
        <v>61</v>
      </c>
      <c r="D68" s="306" t="s">
        <v>88</v>
      </c>
      <c r="E68" s="1174"/>
      <c r="F68" s="1015"/>
      <c r="G68" s="57">
        <f t="shared" si="35"/>
        <v>0</v>
      </c>
      <c r="H68" s="135">
        <f t="shared" si="36"/>
      </c>
      <c r="I68" s="684">
        <v>0.5</v>
      </c>
      <c r="J68" s="151">
        <f t="shared" si="12"/>
      </c>
      <c r="K68" s="85">
        <f>IF($E68&lt;$R68,$K$5,"")</f>
        <v>0</v>
      </c>
      <c r="L68" s="85">
        <f>IF(AND($E68&lt;$T68,$E68&gt;$Q68),$L$5,"")</f>
      </c>
      <c r="M68" s="85">
        <f>IF(AND($E68&lt;$V68,$E68&gt;$S68),$M$5,"")</f>
      </c>
      <c r="N68" s="85">
        <f>IF(AND($E68&lt;$X68,$E68&gt;$U68),$N$5,"")</f>
      </c>
      <c r="O68" s="85">
        <f>IF(AND($E68&lt;Y68,E68&gt;W68),$O$5,"")</f>
      </c>
      <c r="P68" s="10">
        <v>0</v>
      </c>
      <c r="Q68" s="10">
        <v>0</v>
      </c>
      <c r="R68" s="10">
        <v>1</v>
      </c>
      <c r="S68" s="10">
        <v>1</v>
      </c>
      <c r="T68" s="10">
        <v>2</v>
      </c>
      <c r="U68" s="10">
        <v>2</v>
      </c>
      <c r="V68" s="10">
        <v>3</v>
      </c>
      <c r="W68" s="10">
        <v>3</v>
      </c>
      <c r="X68" s="10">
        <v>4</v>
      </c>
      <c r="Y68" s="74">
        <v>10000</v>
      </c>
      <c r="Z68" s="255">
        <f t="shared" si="1"/>
        <v>0</v>
      </c>
      <c r="AA68" s="473"/>
      <c r="AB68" s="474" t="s">
        <v>220</v>
      </c>
      <c r="AC68" s="426"/>
      <c r="AD68" s="407"/>
      <c r="AE68" s="408"/>
      <c r="AF68" s="348"/>
      <c r="AG68" s="1061" t="s">
        <v>281</v>
      </c>
      <c r="AH68" s="1091"/>
      <c r="AI68" s="1091"/>
      <c r="AJ68" s="1091"/>
      <c r="AK68" s="1091"/>
      <c r="AL68" s="1091"/>
      <c r="AM68" s="1091"/>
      <c r="AN68" s="1091"/>
      <c r="AO68" s="1091"/>
      <c r="AP68" s="1091"/>
      <c r="AQ68" s="1091"/>
      <c r="AR68" s="1091"/>
      <c r="AS68" s="1091"/>
      <c r="AT68" s="1091"/>
      <c r="AU68" s="1091"/>
      <c r="AV68" s="1091"/>
      <c r="AW68" s="1091"/>
      <c r="AX68" s="1091"/>
      <c r="AY68" s="1091"/>
      <c r="AZ68" s="1092"/>
      <c r="BA68" s="356"/>
      <c r="BF68">
        <v>4</v>
      </c>
      <c r="BG68" s="358">
        <f t="shared" si="2"/>
        <v>0.5</v>
      </c>
      <c r="BH68">
        <f t="shared" si="3"/>
        <v>2</v>
      </c>
      <c r="BI68" s="358">
        <f t="shared" si="4"/>
        <v>0</v>
      </c>
    </row>
    <row r="69" spans="1:61" ht="37.5" customHeight="1" thickBot="1">
      <c r="A69" s="1110"/>
      <c r="B69" s="1109"/>
      <c r="C69" s="320">
        <f t="shared" si="5"/>
        <v>62</v>
      </c>
      <c r="D69" s="306" t="s">
        <v>89</v>
      </c>
      <c r="E69" s="1174"/>
      <c r="F69" s="1015"/>
      <c r="G69" s="57">
        <f t="shared" si="35"/>
        <v>0</v>
      </c>
      <c r="H69" s="134">
        <f t="shared" si="36"/>
      </c>
      <c r="I69" s="684">
        <v>0.5</v>
      </c>
      <c r="J69" s="151">
        <f t="shared" si="12"/>
      </c>
      <c r="K69" s="58">
        <f>IF(OR(E69="",E69="NO"),$K$5,"")</f>
        <v>0</v>
      </c>
      <c r="L69" s="58">
        <f aca="true" t="shared" si="37" ref="L69:L78">IF(AND($G69&lt;$T69%,$G69&gt;$Q69%),$L$5,"")</f>
      </c>
      <c r="M69" s="58">
        <f aca="true" t="shared" si="38" ref="M69:M78">IF(AND($G69&lt;$V69%,$G69&gt;$S69%),$M$5,"")</f>
      </c>
      <c r="N69" s="58">
        <f aca="true" t="shared" si="39" ref="N69:N78">IF(AND($G69&lt;$X69%,$G69&gt;$U69%),$N$5,"")</f>
      </c>
      <c r="O69" s="58">
        <f>IF(E69="YES",$O$5,"")</f>
      </c>
      <c r="P69" s="10"/>
      <c r="Q69" s="10"/>
      <c r="R69" s="17"/>
      <c r="S69" s="17"/>
      <c r="T69" s="10"/>
      <c r="U69" s="10"/>
      <c r="V69" s="10"/>
      <c r="W69" s="10"/>
      <c r="X69" s="10"/>
      <c r="Y69" s="10"/>
      <c r="Z69" s="255">
        <f t="shared" si="1"/>
        <v>0</v>
      </c>
      <c r="AA69" s="473"/>
      <c r="AB69" s="474" t="s">
        <v>220</v>
      </c>
      <c r="AC69" s="426"/>
      <c r="AD69" s="407"/>
      <c r="AE69" s="408"/>
      <c r="AF69" s="348"/>
      <c r="AG69" s="1061" t="s">
        <v>282</v>
      </c>
      <c r="AH69" s="1091"/>
      <c r="AI69" s="1091"/>
      <c r="AJ69" s="1091"/>
      <c r="AK69" s="1091"/>
      <c r="AL69" s="1091"/>
      <c r="AM69" s="1091"/>
      <c r="AN69" s="1091"/>
      <c r="AO69" s="1091"/>
      <c r="AP69" s="1091"/>
      <c r="AQ69" s="1091"/>
      <c r="AR69" s="1091"/>
      <c r="AS69" s="1091"/>
      <c r="AT69" s="1091"/>
      <c r="AU69" s="1091"/>
      <c r="AV69" s="1091"/>
      <c r="AW69" s="1091"/>
      <c r="AX69" s="1091"/>
      <c r="AY69" s="1091"/>
      <c r="AZ69" s="1092"/>
      <c r="BA69" s="356"/>
      <c r="BF69">
        <v>4</v>
      </c>
      <c r="BG69" s="358">
        <f t="shared" si="2"/>
        <v>0.5</v>
      </c>
      <c r="BH69">
        <f t="shared" si="3"/>
        <v>2</v>
      </c>
      <c r="BI69" s="358">
        <f t="shared" si="4"/>
        <v>0</v>
      </c>
    </row>
    <row r="70" spans="1:61" ht="63" customHeight="1" thickBot="1">
      <c r="A70" s="1110"/>
      <c r="B70" s="1109"/>
      <c r="C70" s="320">
        <f t="shared" si="5"/>
        <v>63</v>
      </c>
      <c r="D70" s="306" t="s">
        <v>90</v>
      </c>
      <c r="E70" s="659"/>
      <c r="F70" s="660"/>
      <c r="G70" s="169">
        <f>IF(E70="","",ROUND(E70/F70,4))</f>
      </c>
      <c r="H70" s="134">
        <f>IF(OR(E70="",F70="",F70=0),"",SUM(K70:O70))</f>
      </c>
      <c r="I70" s="684">
        <v>0.5</v>
      </c>
      <c r="J70" s="151">
        <f t="shared" si="12"/>
      </c>
      <c r="K70" s="24">
        <f>IF($G70&lt;$R70%,$K$5,"")</f>
      </c>
      <c r="L70" s="24">
        <f t="shared" si="37"/>
      </c>
      <c r="M70" s="24">
        <f t="shared" si="38"/>
      </c>
      <c r="N70" s="24">
        <f t="shared" si="39"/>
      </c>
      <c r="O70" s="24">
        <f>IF(AND($G70&lt;Y70%,G70&gt;W70%),$O$5,"")</f>
      </c>
      <c r="P70" s="75">
        <v>0</v>
      </c>
      <c r="Q70" s="75">
        <v>20</v>
      </c>
      <c r="R70" s="74">
        <v>20.0001</v>
      </c>
      <c r="S70" s="74">
        <v>40</v>
      </c>
      <c r="T70" s="74">
        <v>40.0001</v>
      </c>
      <c r="U70" s="74">
        <v>60</v>
      </c>
      <c r="V70" s="74">
        <v>60.0001</v>
      </c>
      <c r="W70" s="74">
        <v>80</v>
      </c>
      <c r="X70" s="74">
        <v>80.0001</v>
      </c>
      <c r="Y70" s="74">
        <v>10000</v>
      </c>
      <c r="Z70" s="255">
        <f t="shared" si="1"/>
        <v>0</v>
      </c>
      <c r="AA70" s="473"/>
      <c r="AB70" s="474" t="s">
        <v>220</v>
      </c>
      <c r="AC70" s="426"/>
      <c r="AD70" s="407"/>
      <c r="AE70" s="408"/>
      <c r="AF70" s="348"/>
      <c r="AG70" s="1175" t="s">
        <v>283</v>
      </c>
      <c r="AH70" s="1176"/>
      <c r="AI70" s="1176"/>
      <c r="AJ70" s="1176"/>
      <c r="AK70" s="1176"/>
      <c r="AL70" s="1176"/>
      <c r="AM70" s="1176"/>
      <c r="AN70" s="1176"/>
      <c r="AO70" s="1176"/>
      <c r="AP70" s="1176"/>
      <c r="AQ70" s="1176"/>
      <c r="AR70" s="1176"/>
      <c r="AS70" s="1176"/>
      <c r="AT70" s="1176"/>
      <c r="AU70" s="1176"/>
      <c r="AV70" s="1176"/>
      <c r="AW70" s="1176"/>
      <c r="AX70" s="1176"/>
      <c r="AY70" s="1176"/>
      <c r="AZ70" s="1177"/>
      <c r="BA70" s="356"/>
      <c r="BF70">
        <v>4</v>
      </c>
      <c r="BG70" s="358">
        <f t="shared" si="2"/>
        <v>0.5</v>
      </c>
      <c r="BH70">
        <f t="shared" si="3"/>
        <v>2</v>
      </c>
      <c r="BI70" s="358">
        <f t="shared" si="4"/>
        <v>0</v>
      </c>
    </row>
    <row r="71" spans="1:63" ht="43.5" customHeight="1" thickBot="1">
      <c r="A71" s="1110"/>
      <c r="B71" s="1109"/>
      <c r="C71" s="320">
        <f t="shared" si="5"/>
        <v>64</v>
      </c>
      <c r="D71" s="306" t="s">
        <v>91</v>
      </c>
      <c r="E71" s="1174"/>
      <c r="F71" s="1015"/>
      <c r="G71" s="57">
        <f>+E71</f>
        <v>0</v>
      </c>
      <c r="H71" s="134">
        <f>IF(E71="","",SUM(K71:O71))</f>
      </c>
      <c r="I71" s="684">
        <v>0.5</v>
      </c>
      <c r="J71" s="151">
        <f t="shared" si="12"/>
      </c>
      <c r="K71" s="58">
        <f>IF(OR(E71="",E71="NO"),$K$5,"")</f>
        <v>0</v>
      </c>
      <c r="L71" s="58">
        <f t="shared" si="37"/>
      </c>
      <c r="M71" s="58">
        <f t="shared" si="38"/>
      </c>
      <c r="N71" s="58">
        <f t="shared" si="39"/>
      </c>
      <c r="O71" s="58">
        <f>IF(E71="YES",$O$5,"")</f>
      </c>
      <c r="P71" s="10"/>
      <c r="Q71" s="10"/>
      <c r="R71" s="17"/>
      <c r="S71" s="17"/>
      <c r="T71" s="10"/>
      <c r="U71" s="10"/>
      <c r="V71" s="10"/>
      <c r="W71" s="10"/>
      <c r="X71" s="10"/>
      <c r="Y71" s="10"/>
      <c r="Z71" s="255">
        <f t="shared" si="1"/>
        <v>0</v>
      </c>
      <c r="AA71" s="475"/>
      <c r="AB71" s="476" t="s">
        <v>220</v>
      </c>
      <c r="AC71" s="477"/>
      <c r="AD71" s="407"/>
      <c r="AE71" s="408"/>
      <c r="AF71" s="348"/>
      <c r="AG71" s="1061" t="s">
        <v>273</v>
      </c>
      <c r="AH71" s="1091"/>
      <c r="AI71" s="1091"/>
      <c r="AJ71" s="1091"/>
      <c r="AK71" s="1091"/>
      <c r="AL71" s="1091"/>
      <c r="AM71" s="1091"/>
      <c r="AN71" s="1091"/>
      <c r="AO71" s="1091"/>
      <c r="AP71" s="1091"/>
      <c r="AQ71" s="1091"/>
      <c r="AR71" s="1091"/>
      <c r="AS71" s="1091"/>
      <c r="AT71" s="1091"/>
      <c r="AU71" s="1091"/>
      <c r="AV71" s="1091"/>
      <c r="AW71" s="1091"/>
      <c r="AX71" s="1091"/>
      <c r="AY71" s="1091"/>
      <c r="AZ71" s="1092"/>
      <c r="BA71" s="356"/>
      <c r="BF71">
        <v>4</v>
      </c>
      <c r="BG71" s="358">
        <f t="shared" si="2"/>
        <v>0.5</v>
      </c>
      <c r="BH71">
        <f t="shared" si="3"/>
        <v>2</v>
      </c>
      <c r="BI71" s="358">
        <f t="shared" si="4"/>
        <v>0</v>
      </c>
      <c r="BJ71" s="358">
        <f>SUM(BH51:BH71)</f>
        <v>50</v>
      </c>
      <c r="BK71" s="358">
        <f>SUM(BI51:BI71)</f>
        <v>0</v>
      </c>
    </row>
    <row r="72" spans="1:61" ht="37.5" customHeight="1" thickBot="1">
      <c r="A72" s="1110"/>
      <c r="B72" s="1038" t="s">
        <v>17</v>
      </c>
      <c r="C72" s="321">
        <f t="shared" si="5"/>
        <v>65</v>
      </c>
      <c r="D72" s="307" t="s">
        <v>92</v>
      </c>
      <c r="E72" s="661"/>
      <c r="F72" s="662"/>
      <c r="G72" s="170">
        <f>IF(E72="","",ROUND(E72/F72,4))</f>
      </c>
      <c r="H72" s="136">
        <f>IF(OR(E72="",F72="",F72=0),"",SUM(K72:O72))</f>
      </c>
      <c r="I72" s="685">
        <v>1</v>
      </c>
      <c r="J72" s="152">
        <f t="shared" si="12"/>
      </c>
      <c r="K72" s="25">
        <f>IF($G72&lt;$R72%,$K$5,"")</f>
      </c>
      <c r="L72" s="25">
        <f t="shared" si="37"/>
      </c>
      <c r="M72" s="25">
        <f t="shared" si="38"/>
      </c>
      <c r="N72" s="25">
        <f t="shared" si="39"/>
      </c>
      <c r="O72" s="25">
        <f>IF(AND($G72&lt;Y72%,G72&gt;W72%),$O$5,"")</f>
      </c>
      <c r="P72" s="86">
        <v>0</v>
      </c>
      <c r="Q72" s="86">
        <v>20</v>
      </c>
      <c r="R72" s="77">
        <v>20.0001</v>
      </c>
      <c r="S72" s="77">
        <v>40</v>
      </c>
      <c r="T72" s="77">
        <v>40.0001</v>
      </c>
      <c r="U72" s="77">
        <v>60</v>
      </c>
      <c r="V72" s="77">
        <v>60.0001</v>
      </c>
      <c r="W72" s="77">
        <v>80</v>
      </c>
      <c r="X72" s="77">
        <v>80.0001</v>
      </c>
      <c r="Y72" s="241">
        <v>10000</v>
      </c>
      <c r="Z72" s="255">
        <f aca="true" t="shared" si="40" ref="Z72:Z135">IF(AD72="YES",1,0)*IF(BA72="ERROR INPUT",0,1)*IF(OR($BA$143=0,$BA$143=""),1,(IF(AE72="NOT VERIFIED",0,1)))</f>
        <v>0</v>
      </c>
      <c r="AA72" s="478"/>
      <c r="AB72" s="479" t="s">
        <v>220</v>
      </c>
      <c r="AC72" s="427"/>
      <c r="AD72" s="419"/>
      <c r="AE72" s="408"/>
      <c r="AF72" s="348"/>
      <c r="AG72" s="1061" t="s">
        <v>252</v>
      </c>
      <c r="AH72" s="1091"/>
      <c r="AI72" s="1091"/>
      <c r="AJ72" s="1091"/>
      <c r="AK72" s="1091"/>
      <c r="AL72" s="1091"/>
      <c r="AM72" s="1091"/>
      <c r="AN72" s="1091"/>
      <c r="AO72" s="1091"/>
      <c r="AP72" s="1091"/>
      <c r="AQ72" s="1091"/>
      <c r="AR72" s="1091"/>
      <c r="AS72" s="1091"/>
      <c r="AT72" s="1091"/>
      <c r="AU72" s="1091"/>
      <c r="AV72" s="1091"/>
      <c r="AW72" s="1091"/>
      <c r="AX72" s="1091"/>
      <c r="AY72" s="1091"/>
      <c r="AZ72" s="1092"/>
      <c r="BA72" s="357">
        <f>IF(E72&gt;F72,"ERROR INPUT","")</f>
      </c>
      <c r="BF72">
        <v>4</v>
      </c>
      <c r="BG72" s="358">
        <f aca="true" t="shared" si="41" ref="BG72:BG135">+I72</f>
        <v>1</v>
      </c>
      <c r="BH72">
        <f aca="true" t="shared" si="42" ref="BH72:BH135">+BF72*BG72</f>
        <v>4</v>
      </c>
      <c r="BI72" s="358">
        <f aca="true" t="shared" si="43" ref="BI72:BI135">IF(J72="",0,+J72)</f>
        <v>0</v>
      </c>
    </row>
    <row r="73" spans="1:61" ht="58.5" customHeight="1" thickBot="1">
      <c r="A73" s="1110"/>
      <c r="B73" s="1038"/>
      <c r="C73" s="321">
        <f aca="true" t="shared" si="44" ref="C73:C136">1+C72</f>
        <v>66</v>
      </c>
      <c r="D73" s="307" t="s">
        <v>93</v>
      </c>
      <c r="E73" s="661"/>
      <c r="F73" s="662"/>
      <c r="G73" s="170">
        <f>IF(E73="","",ROUND(E73/F73,4))</f>
      </c>
      <c r="H73" s="136">
        <f>IF(OR(E73="",F73="",F73=0),"",SUM(K73:O73))</f>
      </c>
      <c r="I73" s="685">
        <v>1</v>
      </c>
      <c r="J73" s="152">
        <f t="shared" si="12"/>
      </c>
      <c r="K73" s="25">
        <f>IF($G73&lt;$R73%,$K$5,"")</f>
      </c>
      <c r="L73" s="25">
        <f t="shared" si="37"/>
      </c>
      <c r="M73" s="25">
        <f t="shared" si="38"/>
      </c>
      <c r="N73" s="25">
        <f t="shared" si="39"/>
      </c>
      <c r="O73" s="25">
        <f>IF(AND($G73&lt;Y73%,G73&gt;W73%),$O$5,"")</f>
      </c>
      <c r="P73" s="86">
        <v>0</v>
      </c>
      <c r="Q73" s="86">
        <v>20</v>
      </c>
      <c r="R73" s="77">
        <v>20.0001</v>
      </c>
      <c r="S73" s="77">
        <v>40</v>
      </c>
      <c r="T73" s="77">
        <v>40.0001</v>
      </c>
      <c r="U73" s="77">
        <v>60</v>
      </c>
      <c r="V73" s="77">
        <v>60.0001</v>
      </c>
      <c r="W73" s="77">
        <v>80</v>
      </c>
      <c r="X73" s="77">
        <v>80.0001</v>
      </c>
      <c r="Y73" s="241">
        <v>10000</v>
      </c>
      <c r="Z73" s="255">
        <f t="shared" si="40"/>
        <v>0</v>
      </c>
      <c r="AA73" s="478"/>
      <c r="AB73" s="479" t="s">
        <v>220</v>
      </c>
      <c r="AC73" s="427"/>
      <c r="AD73" s="407"/>
      <c r="AE73" s="408"/>
      <c r="AF73" s="348"/>
      <c r="AG73" s="1099" t="s">
        <v>252</v>
      </c>
      <c r="AH73" s="1100"/>
      <c r="AI73" s="1100"/>
      <c r="AJ73" s="1100"/>
      <c r="AK73" s="1100"/>
      <c r="AL73" s="1100"/>
      <c r="AM73" s="1100"/>
      <c r="AN73" s="1100"/>
      <c r="AO73" s="1100"/>
      <c r="AP73" s="1100"/>
      <c r="AQ73" s="1100"/>
      <c r="AR73" s="1100"/>
      <c r="AS73" s="1100"/>
      <c r="AT73" s="1100"/>
      <c r="AU73" s="1100"/>
      <c r="AV73" s="1100"/>
      <c r="AW73" s="1100"/>
      <c r="AX73" s="1100"/>
      <c r="AY73" s="1100"/>
      <c r="AZ73" s="1101"/>
      <c r="BA73" s="357">
        <f>IF(E73&gt;F73,"ERROR INPUT","")</f>
      </c>
      <c r="BF73">
        <v>4</v>
      </c>
      <c r="BG73" s="358">
        <f t="shared" si="41"/>
        <v>1</v>
      </c>
      <c r="BH73">
        <f t="shared" si="42"/>
        <v>4</v>
      </c>
      <c r="BI73" s="358">
        <f t="shared" si="43"/>
        <v>0</v>
      </c>
    </row>
    <row r="74" spans="1:63" ht="47.25" customHeight="1" thickBot="1">
      <c r="A74" s="1110"/>
      <c r="B74" s="1038"/>
      <c r="C74" s="321">
        <f t="shared" si="44"/>
        <v>67</v>
      </c>
      <c r="D74" s="307" t="s">
        <v>94</v>
      </c>
      <c r="E74" s="1178"/>
      <c r="F74" s="1016"/>
      <c r="G74" s="59">
        <f>+E74</f>
        <v>0</v>
      </c>
      <c r="H74" s="136">
        <f>IF(E74="","",SUM(K74:O74))</f>
      </c>
      <c r="I74" s="685">
        <v>0.5</v>
      </c>
      <c r="J74" s="152">
        <f t="shared" si="12"/>
      </c>
      <c r="K74" s="60">
        <f>IF(OR(E74="",E74="NO"),$K$5,"")</f>
        <v>0</v>
      </c>
      <c r="L74" s="60">
        <f t="shared" si="37"/>
      </c>
      <c r="M74" s="60">
        <f t="shared" si="38"/>
      </c>
      <c r="N74" s="60">
        <f t="shared" si="39"/>
      </c>
      <c r="O74" s="60">
        <f>IF(E74="YES",$O$5,"")</f>
      </c>
      <c r="P74" s="11"/>
      <c r="Q74" s="11"/>
      <c r="R74" s="61"/>
      <c r="S74" s="61"/>
      <c r="T74" s="11"/>
      <c r="U74" s="11"/>
      <c r="V74" s="11"/>
      <c r="W74" s="11"/>
      <c r="X74" s="11"/>
      <c r="Y74" s="242"/>
      <c r="Z74" s="255">
        <f t="shared" si="40"/>
        <v>0</v>
      </c>
      <c r="AA74" s="478"/>
      <c r="AB74" s="479" t="s">
        <v>220</v>
      </c>
      <c r="AC74" s="427"/>
      <c r="AD74" s="407"/>
      <c r="AE74" s="408"/>
      <c r="AF74" s="348"/>
      <c r="AG74" s="1099" t="s">
        <v>271</v>
      </c>
      <c r="AH74" s="1100"/>
      <c r="AI74" s="1100"/>
      <c r="AJ74" s="1100"/>
      <c r="AK74" s="1100"/>
      <c r="AL74" s="1100"/>
      <c r="AM74" s="1100"/>
      <c r="AN74" s="1100"/>
      <c r="AO74" s="1100"/>
      <c r="AP74" s="1100"/>
      <c r="AQ74" s="1100"/>
      <c r="AR74" s="1100"/>
      <c r="AS74" s="1100"/>
      <c r="AT74" s="1100"/>
      <c r="AU74" s="1100"/>
      <c r="AV74" s="1100"/>
      <c r="AW74" s="1100"/>
      <c r="AX74" s="1100"/>
      <c r="AY74" s="1100"/>
      <c r="AZ74" s="1101"/>
      <c r="BA74" s="356"/>
      <c r="BF74">
        <v>4</v>
      </c>
      <c r="BG74" s="358">
        <f t="shared" si="41"/>
        <v>0.5</v>
      </c>
      <c r="BH74">
        <f t="shared" si="42"/>
        <v>2</v>
      </c>
      <c r="BI74" s="358">
        <f t="shared" si="43"/>
        <v>0</v>
      </c>
      <c r="BJ74" s="358">
        <f>SUM(BH72:BH74)</f>
        <v>10</v>
      </c>
      <c r="BK74" s="358">
        <f>SUM(BI72:BI74)</f>
        <v>0</v>
      </c>
    </row>
    <row r="75" spans="1:61" ht="37.5" customHeight="1" thickBot="1">
      <c r="A75" s="1171" t="s">
        <v>18</v>
      </c>
      <c r="B75" s="1039" t="s">
        <v>19</v>
      </c>
      <c r="C75" s="322">
        <f t="shared" si="44"/>
        <v>68</v>
      </c>
      <c r="D75" s="308" t="s">
        <v>95</v>
      </c>
      <c r="E75" s="1170"/>
      <c r="F75" s="1017"/>
      <c r="G75" s="64">
        <f>+E75</f>
        <v>0</v>
      </c>
      <c r="H75" s="137">
        <f>IF(E75="","",SUM(K75:O75))</f>
      </c>
      <c r="I75" s="686">
        <v>0.5</v>
      </c>
      <c r="J75" s="153">
        <f aca="true" t="shared" si="45" ref="J75:J137">IF(H75="","",+H75*I75*Z75)</f>
      </c>
      <c r="K75" s="65">
        <f>IF(OR(E75="",E75="NO"),$K$5,"")</f>
        <v>0</v>
      </c>
      <c r="L75" s="65">
        <f t="shared" si="37"/>
      </c>
      <c r="M75" s="65">
        <f t="shared" si="38"/>
      </c>
      <c r="N75" s="65">
        <f t="shared" si="39"/>
      </c>
      <c r="O75" s="65">
        <f>IF(E75="YES",$O$5,"")</f>
      </c>
      <c r="P75" s="12"/>
      <c r="Q75" s="12"/>
      <c r="R75" s="18"/>
      <c r="S75" s="18"/>
      <c r="T75" s="12"/>
      <c r="U75" s="12"/>
      <c r="V75" s="12"/>
      <c r="W75" s="12"/>
      <c r="X75" s="12"/>
      <c r="Y75" s="243"/>
      <c r="Z75" s="255">
        <f t="shared" si="40"/>
        <v>0</v>
      </c>
      <c r="AA75" s="480"/>
      <c r="AB75" s="481" t="s">
        <v>220</v>
      </c>
      <c r="AC75" s="428"/>
      <c r="AD75" s="419"/>
      <c r="AE75" s="408"/>
      <c r="AF75" s="348"/>
      <c r="AG75" s="1099" t="s">
        <v>273</v>
      </c>
      <c r="AH75" s="1100"/>
      <c r="AI75" s="1100"/>
      <c r="AJ75" s="1100"/>
      <c r="AK75" s="1100"/>
      <c r="AL75" s="1100"/>
      <c r="AM75" s="1100"/>
      <c r="AN75" s="1100"/>
      <c r="AO75" s="1100"/>
      <c r="AP75" s="1100"/>
      <c r="AQ75" s="1100"/>
      <c r="AR75" s="1100"/>
      <c r="AS75" s="1100"/>
      <c r="AT75" s="1100"/>
      <c r="AU75" s="1100"/>
      <c r="AV75" s="1100"/>
      <c r="AW75" s="1100"/>
      <c r="AX75" s="1100"/>
      <c r="AY75" s="1100"/>
      <c r="AZ75" s="1101"/>
      <c r="BA75" s="356"/>
      <c r="BF75">
        <v>4</v>
      </c>
      <c r="BG75" s="358">
        <f t="shared" si="41"/>
        <v>0.5</v>
      </c>
      <c r="BH75">
        <f t="shared" si="42"/>
        <v>2</v>
      </c>
      <c r="BI75" s="358">
        <f t="shared" si="43"/>
        <v>0</v>
      </c>
    </row>
    <row r="76" spans="1:61" ht="37.5" customHeight="1" thickBot="1">
      <c r="A76" s="1172"/>
      <c r="B76" s="1039"/>
      <c r="C76" s="322">
        <f t="shared" si="44"/>
        <v>69</v>
      </c>
      <c r="D76" s="308" t="s">
        <v>96</v>
      </c>
      <c r="E76" s="1170"/>
      <c r="F76" s="1017"/>
      <c r="G76" s="64">
        <f>+E76</f>
        <v>0</v>
      </c>
      <c r="H76" s="137">
        <f>IF(E76="","",SUM(K76:O76))</f>
      </c>
      <c r="I76" s="686">
        <v>0.25</v>
      </c>
      <c r="J76" s="153">
        <f t="shared" si="45"/>
      </c>
      <c r="K76" s="65">
        <f>IF(OR(E76="",E76="NO"),$K$5,"")</f>
        <v>0</v>
      </c>
      <c r="L76" s="65">
        <f t="shared" si="37"/>
      </c>
      <c r="M76" s="65">
        <f t="shared" si="38"/>
      </c>
      <c r="N76" s="65">
        <f t="shared" si="39"/>
      </c>
      <c r="O76" s="65">
        <f>IF(E76="YES",$O$5,"")</f>
      </c>
      <c r="P76" s="12"/>
      <c r="Q76" s="12"/>
      <c r="R76" s="18"/>
      <c r="S76" s="18"/>
      <c r="T76" s="12"/>
      <c r="U76" s="12"/>
      <c r="V76" s="12"/>
      <c r="W76" s="12"/>
      <c r="X76" s="12"/>
      <c r="Y76" s="243"/>
      <c r="Z76" s="255">
        <f t="shared" si="40"/>
        <v>0</v>
      </c>
      <c r="AA76" s="480"/>
      <c r="AB76" s="481" t="s">
        <v>220</v>
      </c>
      <c r="AC76" s="428"/>
      <c r="AD76" s="407"/>
      <c r="AE76" s="408"/>
      <c r="AF76" s="348"/>
      <c r="AG76" s="1099" t="s">
        <v>271</v>
      </c>
      <c r="AH76" s="1100"/>
      <c r="AI76" s="1100"/>
      <c r="AJ76" s="1100"/>
      <c r="AK76" s="1100"/>
      <c r="AL76" s="1100"/>
      <c r="AM76" s="1100"/>
      <c r="AN76" s="1100"/>
      <c r="AO76" s="1100"/>
      <c r="AP76" s="1100"/>
      <c r="AQ76" s="1100"/>
      <c r="AR76" s="1100"/>
      <c r="AS76" s="1100"/>
      <c r="AT76" s="1100"/>
      <c r="AU76" s="1100"/>
      <c r="AV76" s="1100"/>
      <c r="AW76" s="1100"/>
      <c r="AX76" s="1100"/>
      <c r="AY76" s="1100"/>
      <c r="AZ76" s="1101"/>
      <c r="BA76" s="356"/>
      <c r="BF76">
        <v>4</v>
      </c>
      <c r="BG76" s="358">
        <f t="shared" si="41"/>
        <v>0.25</v>
      </c>
      <c r="BH76">
        <f t="shared" si="42"/>
        <v>1</v>
      </c>
      <c r="BI76" s="358">
        <f t="shared" si="43"/>
        <v>0</v>
      </c>
    </row>
    <row r="77" spans="1:61" ht="37.5" customHeight="1" thickBot="1">
      <c r="A77" s="1172"/>
      <c r="B77" s="1039"/>
      <c r="C77" s="322">
        <f t="shared" si="44"/>
        <v>70</v>
      </c>
      <c r="D77" s="308" t="s">
        <v>97</v>
      </c>
      <c r="E77" s="1170"/>
      <c r="F77" s="1017"/>
      <c r="G77" s="64">
        <f>+E77</f>
        <v>0</v>
      </c>
      <c r="H77" s="137">
        <f>IF(E77="","",SUM(K77:O77))</f>
      </c>
      <c r="I77" s="686">
        <v>0.25</v>
      </c>
      <c r="J77" s="153">
        <f t="shared" si="45"/>
      </c>
      <c r="K77" s="65">
        <f>IF(OR(E77="",E77="NO"),$K$5,"")</f>
        <v>0</v>
      </c>
      <c r="L77" s="65">
        <f t="shared" si="37"/>
      </c>
      <c r="M77" s="65">
        <f t="shared" si="38"/>
      </c>
      <c r="N77" s="65">
        <f t="shared" si="39"/>
      </c>
      <c r="O77" s="65">
        <f>IF(E77="YES",$O$5,"")</f>
      </c>
      <c r="P77" s="12"/>
      <c r="Q77" s="12"/>
      <c r="R77" s="18"/>
      <c r="S77" s="18"/>
      <c r="T77" s="12"/>
      <c r="U77" s="12"/>
      <c r="V77" s="12"/>
      <c r="W77" s="12"/>
      <c r="X77" s="12"/>
      <c r="Y77" s="243"/>
      <c r="Z77" s="255">
        <f t="shared" si="40"/>
        <v>0</v>
      </c>
      <c r="AA77" s="480"/>
      <c r="AB77" s="481" t="s">
        <v>220</v>
      </c>
      <c r="AC77" s="428"/>
      <c r="AD77" s="407"/>
      <c r="AE77" s="408"/>
      <c r="AF77" s="348"/>
      <c r="AG77" s="1099" t="s">
        <v>284</v>
      </c>
      <c r="AH77" s="1100"/>
      <c r="AI77" s="1100"/>
      <c r="AJ77" s="1100"/>
      <c r="AK77" s="1100"/>
      <c r="AL77" s="1100"/>
      <c r="AM77" s="1100"/>
      <c r="AN77" s="1100"/>
      <c r="AO77" s="1100"/>
      <c r="AP77" s="1100"/>
      <c r="AQ77" s="1100"/>
      <c r="AR77" s="1100"/>
      <c r="AS77" s="1100"/>
      <c r="AT77" s="1100"/>
      <c r="AU77" s="1100"/>
      <c r="AV77" s="1100"/>
      <c r="AW77" s="1100"/>
      <c r="AX77" s="1100"/>
      <c r="AY77" s="1100"/>
      <c r="AZ77" s="1101"/>
      <c r="BA77" s="356"/>
      <c r="BF77">
        <v>4</v>
      </c>
      <c r="BG77" s="358">
        <f t="shared" si="41"/>
        <v>0.25</v>
      </c>
      <c r="BH77">
        <f t="shared" si="42"/>
        <v>1</v>
      </c>
      <c r="BI77" s="358">
        <f t="shared" si="43"/>
        <v>0</v>
      </c>
    </row>
    <row r="78" spans="1:61" ht="48" customHeight="1" thickBot="1">
      <c r="A78" s="1172"/>
      <c r="B78" s="1039"/>
      <c r="C78" s="322">
        <f t="shared" si="44"/>
        <v>71</v>
      </c>
      <c r="D78" s="308" t="s">
        <v>98</v>
      </c>
      <c r="E78" s="655"/>
      <c r="F78" s="656"/>
      <c r="G78" s="171">
        <f>IF(E78="","",ROUND(E78/F78,4))</f>
      </c>
      <c r="H78" s="137">
        <f>IF(OR(E78="",F78="",F78=0),"",SUM(K78:O78))</f>
      </c>
      <c r="I78" s="686">
        <v>0.25</v>
      </c>
      <c r="J78" s="153">
        <f t="shared" si="45"/>
      </c>
      <c r="K78" s="26">
        <f>IF($G78&lt;$R78%,$K$5,"")</f>
      </c>
      <c r="L78" s="26">
        <f t="shared" si="37"/>
      </c>
      <c r="M78" s="26">
        <f t="shared" si="38"/>
      </c>
      <c r="N78" s="26">
        <f t="shared" si="39"/>
      </c>
      <c r="O78" s="26">
        <f>IF(AND($G78&lt;Y78%,G78&gt;W78%),$O$5,"")</f>
      </c>
      <c r="P78" s="87">
        <v>0</v>
      </c>
      <c r="Q78" s="87">
        <v>20</v>
      </c>
      <c r="R78" s="88">
        <v>20.0001</v>
      </c>
      <c r="S78" s="88">
        <v>40</v>
      </c>
      <c r="T78" s="88">
        <v>40.0001</v>
      </c>
      <c r="U78" s="88">
        <v>60</v>
      </c>
      <c r="V78" s="88">
        <v>60.0001</v>
      </c>
      <c r="W78" s="88">
        <v>80</v>
      </c>
      <c r="X78" s="88">
        <v>80.0001</v>
      </c>
      <c r="Y78" s="244">
        <v>10000</v>
      </c>
      <c r="Z78" s="255">
        <f t="shared" si="40"/>
        <v>0</v>
      </c>
      <c r="AA78" s="480"/>
      <c r="AB78" s="481" t="s">
        <v>220</v>
      </c>
      <c r="AC78" s="428"/>
      <c r="AD78" s="407"/>
      <c r="AE78" s="408"/>
      <c r="AF78" s="348"/>
      <c r="AG78" s="1099" t="s">
        <v>271</v>
      </c>
      <c r="AH78" s="1100"/>
      <c r="AI78" s="1100"/>
      <c r="AJ78" s="1100"/>
      <c r="AK78" s="1100"/>
      <c r="AL78" s="1100"/>
      <c r="AM78" s="1100"/>
      <c r="AN78" s="1100"/>
      <c r="AO78" s="1100"/>
      <c r="AP78" s="1100"/>
      <c r="AQ78" s="1100"/>
      <c r="AR78" s="1100"/>
      <c r="AS78" s="1100"/>
      <c r="AT78" s="1100"/>
      <c r="AU78" s="1100"/>
      <c r="AV78" s="1100"/>
      <c r="AW78" s="1100"/>
      <c r="AX78" s="1100"/>
      <c r="AY78" s="1100"/>
      <c r="AZ78" s="1101"/>
      <c r="BA78" s="357">
        <f>IF(E78&gt;F78,"ERROR INPUT","")</f>
      </c>
      <c r="BF78">
        <v>4</v>
      </c>
      <c r="BG78" s="358">
        <f t="shared" si="41"/>
        <v>0.25</v>
      </c>
      <c r="BH78">
        <f t="shared" si="42"/>
        <v>1</v>
      </c>
      <c r="BI78" s="358">
        <f t="shared" si="43"/>
        <v>0</v>
      </c>
    </row>
    <row r="79" spans="1:61" ht="49.5" customHeight="1" thickBot="1">
      <c r="A79" s="1172"/>
      <c r="B79" s="1039"/>
      <c r="C79" s="322">
        <f t="shared" si="44"/>
        <v>72</v>
      </c>
      <c r="D79" s="308" t="s">
        <v>99</v>
      </c>
      <c r="E79" s="655"/>
      <c r="F79" s="215">
        <f>+$E$7</f>
        <v>0</v>
      </c>
      <c r="G79" s="172">
        <f>IF(E79="","",ROUND(E79/F79,4))</f>
      </c>
      <c r="H79" s="138">
        <f>IF(OR(E79="",F79="",F79=0),"",SUM(K79:O79))</f>
      </c>
      <c r="I79" s="686">
        <v>0.5</v>
      </c>
      <c r="J79" s="153">
        <f t="shared" si="45"/>
      </c>
      <c r="K79" s="89">
        <f>IF($G79&lt;$R79,$K$5,"")</f>
      </c>
      <c r="L79" s="89">
        <f>IF(AND($G79&lt;$T79,$G79&gt;$Q79),$L$5,"")</f>
      </c>
      <c r="M79" s="89">
        <f>IF(AND($G79&lt;$V79,$G79&gt;$S79),$M$5,"")</f>
      </c>
      <c r="N79" s="89">
        <f>IF(AND($G79&lt;$X79,$G79&gt;$U79),$N$5,"")</f>
      </c>
      <c r="O79" s="89">
        <f>IF(AND($G79&lt;Y79,G79&gt;W79),$O$5,"")</f>
      </c>
      <c r="P79" s="12">
        <v>0</v>
      </c>
      <c r="Q79" s="12">
        <v>0</v>
      </c>
      <c r="R79" s="12">
        <v>0.0001</v>
      </c>
      <c r="S79" s="12">
        <v>2.9999</v>
      </c>
      <c r="T79" s="12">
        <v>3</v>
      </c>
      <c r="U79" s="12">
        <v>3.9999</v>
      </c>
      <c r="V79" s="12">
        <v>4</v>
      </c>
      <c r="W79" s="12">
        <v>4.9999</v>
      </c>
      <c r="X79" s="12">
        <v>5</v>
      </c>
      <c r="Y79" s="244">
        <v>10000</v>
      </c>
      <c r="Z79" s="255">
        <f t="shared" si="40"/>
        <v>0</v>
      </c>
      <c r="AA79" s="480"/>
      <c r="AB79" s="481" t="s">
        <v>220</v>
      </c>
      <c r="AC79" s="428"/>
      <c r="AD79" s="407"/>
      <c r="AE79" s="408"/>
      <c r="AF79" s="348"/>
      <c r="AG79" s="1099" t="s">
        <v>376</v>
      </c>
      <c r="AH79" s="1100"/>
      <c r="AI79" s="1100"/>
      <c r="AJ79" s="1100"/>
      <c r="AK79" s="1100"/>
      <c r="AL79" s="1100"/>
      <c r="AM79" s="1100"/>
      <c r="AN79" s="1100"/>
      <c r="AO79" s="1100"/>
      <c r="AP79" s="1100"/>
      <c r="AQ79" s="1100"/>
      <c r="AR79" s="1100"/>
      <c r="AS79" s="1100"/>
      <c r="AT79" s="1100"/>
      <c r="AU79" s="1100"/>
      <c r="AV79" s="1100"/>
      <c r="AW79" s="1100"/>
      <c r="AX79" s="1100"/>
      <c r="AY79" s="1100"/>
      <c r="AZ79" s="1101"/>
      <c r="BA79" s="356"/>
      <c r="BF79">
        <v>4</v>
      </c>
      <c r="BG79" s="358">
        <f t="shared" si="41"/>
        <v>0.5</v>
      </c>
      <c r="BH79">
        <f t="shared" si="42"/>
        <v>2</v>
      </c>
      <c r="BI79" s="358">
        <f t="shared" si="43"/>
        <v>0</v>
      </c>
    </row>
    <row r="80" spans="1:61" ht="37.5" customHeight="1" thickBot="1">
      <c r="A80" s="1172"/>
      <c r="B80" s="1039"/>
      <c r="C80" s="322">
        <f t="shared" si="44"/>
        <v>73</v>
      </c>
      <c r="D80" s="308" t="s">
        <v>100</v>
      </c>
      <c r="E80" s="1170"/>
      <c r="F80" s="1017"/>
      <c r="G80" s="64">
        <f>+E80</f>
        <v>0</v>
      </c>
      <c r="H80" s="138">
        <f>IF(E80="","",SUM(K80:O80))</f>
      </c>
      <c r="I80" s="686">
        <v>0.5</v>
      </c>
      <c r="J80" s="153">
        <f t="shared" si="45"/>
      </c>
      <c r="K80" s="90">
        <f>IF($E80&lt;$R80,$K$5,"")</f>
        <v>0</v>
      </c>
      <c r="L80" s="90"/>
      <c r="M80" s="90">
        <f>IF(AND($E80&lt;$V80,$E80&gt;$S80),$M$5,"")</f>
      </c>
      <c r="N80" s="90"/>
      <c r="O80" s="90">
        <f>IF(AND($E80&lt;Y80,E80&gt;W80),$O$5,"")</f>
      </c>
      <c r="P80" s="12">
        <v>0</v>
      </c>
      <c r="Q80" s="12">
        <v>0.999</v>
      </c>
      <c r="R80" s="12">
        <v>0.999</v>
      </c>
      <c r="S80" s="12">
        <v>0.999</v>
      </c>
      <c r="T80" s="12">
        <v>1</v>
      </c>
      <c r="U80" s="12">
        <v>1.9999</v>
      </c>
      <c r="V80" s="12">
        <v>2</v>
      </c>
      <c r="W80" s="12">
        <v>1.9999</v>
      </c>
      <c r="X80" s="12">
        <v>2</v>
      </c>
      <c r="Y80" s="244">
        <v>10000</v>
      </c>
      <c r="Z80" s="255">
        <f t="shared" si="40"/>
        <v>0</v>
      </c>
      <c r="AA80" s="480"/>
      <c r="AB80" s="481" t="s">
        <v>220</v>
      </c>
      <c r="AC80" s="428"/>
      <c r="AD80" s="407"/>
      <c r="AE80" s="408"/>
      <c r="AF80" s="348"/>
      <c r="AG80" s="1099" t="s">
        <v>285</v>
      </c>
      <c r="AH80" s="1100"/>
      <c r="AI80" s="1100"/>
      <c r="AJ80" s="1100"/>
      <c r="AK80" s="1100"/>
      <c r="AL80" s="1100"/>
      <c r="AM80" s="1100"/>
      <c r="AN80" s="1100"/>
      <c r="AO80" s="1100"/>
      <c r="AP80" s="1100"/>
      <c r="AQ80" s="1100"/>
      <c r="AR80" s="1100"/>
      <c r="AS80" s="1100"/>
      <c r="AT80" s="1100"/>
      <c r="AU80" s="1100"/>
      <c r="AV80" s="1100"/>
      <c r="AW80" s="1100"/>
      <c r="AX80" s="1100"/>
      <c r="AY80" s="1100"/>
      <c r="AZ80" s="1101"/>
      <c r="BA80" s="356"/>
      <c r="BF80">
        <v>4</v>
      </c>
      <c r="BG80" s="358">
        <f t="shared" si="41"/>
        <v>0.5</v>
      </c>
      <c r="BH80">
        <f t="shared" si="42"/>
        <v>2</v>
      </c>
      <c r="BI80" s="358">
        <f t="shared" si="43"/>
        <v>0</v>
      </c>
    </row>
    <row r="81" spans="1:61" ht="52.5" customHeight="1" thickBot="1">
      <c r="A81" s="1172"/>
      <c r="B81" s="1039"/>
      <c r="C81" s="322">
        <f t="shared" si="44"/>
        <v>74</v>
      </c>
      <c r="D81" s="308" t="s">
        <v>101</v>
      </c>
      <c r="E81" s="655"/>
      <c r="F81" s="215">
        <f>+$E$7</f>
        <v>0</v>
      </c>
      <c r="G81" s="172">
        <f>IF(E81="","",ROUND(E81/(F81/100),4))</f>
      </c>
      <c r="H81" s="138">
        <f>IF(OR(E81="",F81="",F81=0),"",SUM(K81:O81))</f>
      </c>
      <c r="I81" s="686">
        <v>0.25</v>
      </c>
      <c r="J81" s="153">
        <f t="shared" si="45"/>
      </c>
      <c r="K81" s="89">
        <f>IF($G81&lt;$R81,$K$5,"")</f>
      </c>
      <c r="L81" s="89">
        <f>IF(AND($G81&lt;$T81,$G81&gt;$Q81),$L$5,"")</f>
      </c>
      <c r="M81" s="89">
        <f>IF(AND($G81&lt;$V81,$G81&gt;$S81),$M$5,"")</f>
      </c>
      <c r="N81" s="89">
        <f>IF(AND($G81&lt;$X81,$G81&gt;$U81),$N$5,"")</f>
      </c>
      <c r="O81" s="89">
        <f>IF(AND($G81&lt;Y81,G81&gt;W81),$O$5,"")</f>
      </c>
      <c r="P81" s="12">
        <v>0</v>
      </c>
      <c r="Q81" s="12">
        <v>0</v>
      </c>
      <c r="R81" s="12">
        <v>1</v>
      </c>
      <c r="S81" s="12">
        <v>1</v>
      </c>
      <c r="T81" s="12">
        <v>2</v>
      </c>
      <c r="U81" s="12">
        <v>2</v>
      </c>
      <c r="V81" s="12">
        <v>3</v>
      </c>
      <c r="W81" s="12">
        <v>3</v>
      </c>
      <c r="X81" s="12">
        <v>4</v>
      </c>
      <c r="Y81" s="244">
        <v>10000</v>
      </c>
      <c r="Z81" s="255">
        <f t="shared" si="40"/>
        <v>0</v>
      </c>
      <c r="AA81" s="480"/>
      <c r="AB81" s="481" t="s">
        <v>220</v>
      </c>
      <c r="AC81" s="428"/>
      <c r="AD81" s="407"/>
      <c r="AE81" s="408"/>
      <c r="AF81" s="348"/>
      <c r="AG81" s="1099" t="s">
        <v>286</v>
      </c>
      <c r="AH81" s="1100"/>
      <c r="AI81" s="1100"/>
      <c r="AJ81" s="1100"/>
      <c r="AK81" s="1100"/>
      <c r="AL81" s="1100"/>
      <c r="AM81" s="1100"/>
      <c r="AN81" s="1100"/>
      <c r="AO81" s="1100"/>
      <c r="AP81" s="1100"/>
      <c r="AQ81" s="1100"/>
      <c r="AR81" s="1100"/>
      <c r="AS81" s="1100"/>
      <c r="AT81" s="1100"/>
      <c r="AU81" s="1100"/>
      <c r="AV81" s="1100"/>
      <c r="AW81" s="1100"/>
      <c r="AX81" s="1100"/>
      <c r="AY81" s="1100"/>
      <c r="AZ81" s="1101"/>
      <c r="BA81" s="356"/>
      <c r="BF81">
        <v>4</v>
      </c>
      <c r="BG81" s="358">
        <f t="shared" si="41"/>
        <v>0.25</v>
      </c>
      <c r="BH81">
        <f t="shared" si="42"/>
        <v>1</v>
      </c>
      <c r="BI81" s="358">
        <f t="shared" si="43"/>
        <v>0</v>
      </c>
    </row>
    <row r="82" spans="1:61" ht="37.5" customHeight="1" thickBot="1">
      <c r="A82" s="1172"/>
      <c r="B82" s="1039"/>
      <c r="C82" s="322">
        <f t="shared" si="44"/>
        <v>75</v>
      </c>
      <c r="D82" s="308" t="s">
        <v>102</v>
      </c>
      <c r="E82" s="1170"/>
      <c r="F82" s="1017"/>
      <c r="G82" s="64">
        <f>+E82</f>
        <v>0</v>
      </c>
      <c r="H82" s="137">
        <f>IF(E82="","",SUM(K82:O82))</f>
      </c>
      <c r="I82" s="686">
        <v>0.25</v>
      </c>
      <c r="J82" s="153">
        <f t="shared" si="45"/>
      </c>
      <c r="K82" s="65">
        <f>IF(OR(E82="",E82="NO"),$K$5,"")</f>
        <v>0</v>
      </c>
      <c r="L82" s="65">
        <f>IF(AND($G82&lt;$T82%,$G82&gt;$Q82%),$L$5,"")</f>
      </c>
      <c r="M82" s="65">
        <f>IF(AND($G82&lt;$V82%,$G82&gt;$S82%),$M$5,"")</f>
      </c>
      <c r="N82" s="65">
        <f>IF(AND($G82&lt;$X82%,$G82&gt;$U82%),$N$5,"")</f>
      </c>
      <c r="O82" s="65">
        <f>IF(E82="YES",$O$5,"")</f>
      </c>
      <c r="P82" s="12"/>
      <c r="Q82" s="12"/>
      <c r="R82" s="18"/>
      <c r="S82" s="18"/>
      <c r="T82" s="12"/>
      <c r="U82" s="12"/>
      <c r="V82" s="12"/>
      <c r="W82" s="12"/>
      <c r="X82" s="12"/>
      <c r="Y82" s="243"/>
      <c r="Z82" s="255">
        <f t="shared" si="40"/>
        <v>0</v>
      </c>
      <c r="AA82" s="480"/>
      <c r="AB82" s="481" t="s">
        <v>220</v>
      </c>
      <c r="AC82" s="428"/>
      <c r="AD82" s="407"/>
      <c r="AE82" s="408"/>
      <c r="AF82" s="348"/>
      <c r="AG82" s="1099" t="s">
        <v>286</v>
      </c>
      <c r="AH82" s="1100"/>
      <c r="AI82" s="1100"/>
      <c r="AJ82" s="1100"/>
      <c r="AK82" s="1100"/>
      <c r="AL82" s="1100"/>
      <c r="AM82" s="1100"/>
      <c r="AN82" s="1100"/>
      <c r="AO82" s="1100"/>
      <c r="AP82" s="1100"/>
      <c r="AQ82" s="1100"/>
      <c r="AR82" s="1100"/>
      <c r="AS82" s="1100"/>
      <c r="AT82" s="1100"/>
      <c r="AU82" s="1100"/>
      <c r="AV82" s="1100"/>
      <c r="AW82" s="1100"/>
      <c r="AX82" s="1100"/>
      <c r="AY82" s="1100"/>
      <c r="AZ82" s="1101"/>
      <c r="BA82" s="356"/>
      <c r="BF82">
        <v>4</v>
      </c>
      <c r="BG82" s="358">
        <f t="shared" si="41"/>
        <v>0.25</v>
      </c>
      <c r="BH82">
        <f t="shared" si="42"/>
        <v>1</v>
      </c>
      <c r="BI82" s="358">
        <f t="shared" si="43"/>
        <v>0</v>
      </c>
    </row>
    <row r="83" spans="1:61" ht="37.5" customHeight="1" thickBot="1">
      <c r="A83" s="1172"/>
      <c r="B83" s="1039"/>
      <c r="C83" s="322">
        <f t="shared" si="44"/>
        <v>76</v>
      </c>
      <c r="D83" s="308" t="s">
        <v>103</v>
      </c>
      <c r="E83" s="1170"/>
      <c r="F83" s="1017"/>
      <c r="G83" s="64">
        <f>+E83</f>
        <v>0</v>
      </c>
      <c r="H83" s="137">
        <f>IF(E83="","",SUM(K83:O83))</f>
      </c>
      <c r="I83" s="686">
        <v>0.25</v>
      </c>
      <c r="J83" s="153">
        <f t="shared" si="45"/>
      </c>
      <c r="K83" s="90">
        <f>IF($E83&lt;$R83,$K$5,"")</f>
        <v>0</v>
      </c>
      <c r="L83" s="90">
        <f>IF(AND($E83&lt;$T83,$E83&gt;$Q83),$L$5,"")</f>
      </c>
      <c r="M83" s="90">
        <f>IF(AND($E83&lt;$V83,$E83&gt;$S83),$M$5,"")</f>
      </c>
      <c r="N83" s="90">
        <f>IF(AND($E83&lt;$X83,$E83&gt;$U83),$N$5,"")</f>
      </c>
      <c r="O83" s="90">
        <f>IF(AND($E83&lt;Y83,E83&gt;W83),$O$5,"")</f>
      </c>
      <c r="P83" s="12">
        <v>0</v>
      </c>
      <c r="Q83" s="12">
        <v>0</v>
      </c>
      <c r="R83" s="12">
        <v>1</v>
      </c>
      <c r="S83" s="12">
        <v>3</v>
      </c>
      <c r="T83" s="12">
        <v>4</v>
      </c>
      <c r="U83" s="12">
        <v>6</v>
      </c>
      <c r="V83" s="12">
        <v>7</v>
      </c>
      <c r="W83" s="12">
        <v>9</v>
      </c>
      <c r="X83" s="12">
        <v>10</v>
      </c>
      <c r="Y83" s="244">
        <v>10000</v>
      </c>
      <c r="Z83" s="255">
        <f t="shared" si="40"/>
        <v>0</v>
      </c>
      <c r="AA83" s="480"/>
      <c r="AB83" s="481" t="s">
        <v>220</v>
      </c>
      <c r="AC83" s="428"/>
      <c r="AD83" s="407"/>
      <c r="AE83" s="408"/>
      <c r="AF83" s="348"/>
      <c r="AG83" s="1099" t="s">
        <v>272</v>
      </c>
      <c r="AH83" s="1100"/>
      <c r="AI83" s="1100"/>
      <c r="AJ83" s="1100"/>
      <c r="AK83" s="1100"/>
      <c r="AL83" s="1100"/>
      <c r="AM83" s="1100"/>
      <c r="AN83" s="1100"/>
      <c r="AO83" s="1100"/>
      <c r="AP83" s="1100"/>
      <c r="AQ83" s="1100"/>
      <c r="AR83" s="1100"/>
      <c r="AS83" s="1100"/>
      <c r="AT83" s="1100"/>
      <c r="AU83" s="1100"/>
      <c r="AV83" s="1100"/>
      <c r="AW83" s="1100"/>
      <c r="AX83" s="1100"/>
      <c r="AY83" s="1100"/>
      <c r="AZ83" s="1101"/>
      <c r="BA83" s="356"/>
      <c r="BF83">
        <v>4</v>
      </c>
      <c r="BG83" s="358">
        <f t="shared" si="41"/>
        <v>0.25</v>
      </c>
      <c r="BH83">
        <f t="shared" si="42"/>
        <v>1</v>
      </c>
      <c r="BI83" s="358">
        <f t="shared" si="43"/>
        <v>0</v>
      </c>
    </row>
    <row r="84" spans="1:63" ht="37.5" customHeight="1" thickBot="1">
      <c r="A84" s="1173"/>
      <c r="B84" s="1039"/>
      <c r="C84" s="322">
        <f t="shared" si="44"/>
        <v>77</v>
      </c>
      <c r="D84" s="308" t="s">
        <v>104</v>
      </c>
      <c r="E84" s="655"/>
      <c r="F84" s="215">
        <f>+$F$60</f>
        <v>0</v>
      </c>
      <c r="G84" s="172">
        <f>IF(E84="","",ROUND(E84/(F84/1),4))</f>
      </c>
      <c r="H84" s="137">
        <f>IF(OR(E84="",F84="",F84=0),"",SUM(K84:O84))</f>
      </c>
      <c r="I84" s="686">
        <v>0.5</v>
      </c>
      <c r="J84" s="153">
        <f t="shared" si="45"/>
      </c>
      <c r="K84" s="89">
        <f>IF($G84&lt;$R84,$K$5,"")</f>
      </c>
      <c r="L84" s="89">
        <f>IF(AND($G84&lt;$T84,$G84&gt;$Q84),$L$5,"")</f>
      </c>
      <c r="M84" s="89">
        <f>IF(AND($G84&lt;$V84,$G84&gt;$S84),$M$5,"")</f>
      </c>
      <c r="N84" s="89">
        <f>IF(AND($G84&lt;$X84,$G84&gt;$U84),$N$5,"")</f>
      </c>
      <c r="O84" s="89">
        <f>IF(AND($G84&lt;Y84,G84&gt;W84),$O$5,"")</f>
      </c>
      <c r="P84" s="12">
        <v>0</v>
      </c>
      <c r="Q84" s="12">
        <v>0</v>
      </c>
      <c r="R84" s="12">
        <v>1</v>
      </c>
      <c r="S84" s="12">
        <v>1</v>
      </c>
      <c r="T84" s="12">
        <v>2</v>
      </c>
      <c r="U84" s="12">
        <v>2</v>
      </c>
      <c r="V84" s="12">
        <v>3</v>
      </c>
      <c r="W84" s="12">
        <v>3</v>
      </c>
      <c r="X84" s="12">
        <v>4</v>
      </c>
      <c r="Y84" s="244">
        <v>10000</v>
      </c>
      <c r="Z84" s="255">
        <f t="shared" si="40"/>
        <v>0</v>
      </c>
      <c r="AA84" s="480"/>
      <c r="AB84" s="481" t="s">
        <v>220</v>
      </c>
      <c r="AC84" s="428"/>
      <c r="AD84" s="407"/>
      <c r="AE84" s="408"/>
      <c r="AF84" s="348"/>
      <c r="AG84" s="1099" t="s">
        <v>272</v>
      </c>
      <c r="AH84" s="1100"/>
      <c r="AI84" s="1100"/>
      <c r="AJ84" s="1100"/>
      <c r="AK84" s="1100"/>
      <c r="AL84" s="1100"/>
      <c r="AM84" s="1100"/>
      <c r="AN84" s="1100"/>
      <c r="AO84" s="1100"/>
      <c r="AP84" s="1100"/>
      <c r="AQ84" s="1100"/>
      <c r="AR84" s="1100"/>
      <c r="AS84" s="1100"/>
      <c r="AT84" s="1100"/>
      <c r="AU84" s="1100"/>
      <c r="AV84" s="1100"/>
      <c r="AW84" s="1100"/>
      <c r="AX84" s="1100"/>
      <c r="AY84" s="1100"/>
      <c r="AZ84" s="1101"/>
      <c r="BA84" s="356"/>
      <c r="BF84">
        <v>4</v>
      </c>
      <c r="BG84" s="358">
        <f t="shared" si="41"/>
        <v>0.5</v>
      </c>
      <c r="BH84">
        <f t="shared" si="42"/>
        <v>2</v>
      </c>
      <c r="BI84" s="358">
        <f t="shared" si="43"/>
        <v>0</v>
      </c>
      <c r="BJ84" s="358">
        <f>SUM(BH75:BH84)</f>
        <v>14</v>
      </c>
      <c r="BK84" s="358">
        <f>SUM(BI75:BI84)</f>
        <v>0</v>
      </c>
    </row>
    <row r="85" spans="1:61" ht="37.5" customHeight="1" thickBot="1">
      <c r="A85" s="1013" t="s">
        <v>18</v>
      </c>
      <c r="B85" s="1167" t="s">
        <v>20</v>
      </c>
      <c r="C85" s="323">
        <f t="shared" si="44"/>
        <v>78</v>
      </c>
      <c r="D85" s="309" t="s">
        <v>105</v>
      </c>
      <c r="E85" s="657"/>
      <c r="F85" s="216">
        <f>+$E$7</f>
        <v>0</v>
      </c>
      <c r="G85" s="173">
        <f>IF(E85="","",ROUND(E85/F85,4))</f>
      </c>
      <c r="H85" s="139">
        <f>IF(OR(E85="",F85="",F85=0),"",SUM(K85:O85))</f>
      </c>
      <c r="I85" s="687">
        <v>0.25</v>
      </c>
      <c r="J85" s="154">
        <f t="shared" si="45"/>
      </c>
      <c r="K85" s="27">
        <f>IF($G85&lt;$R85%,$K$5,"")</f>
      </c>
      <c r="L85" s="27">
        <f>IF(AND($G85&lt;$T85%,$G85&gt;$Q85%),$L$5,"")</f>
      </c>
      <c r="M85" s="27">
        <f>IF(AND($G85&lt;$V85%,$G85&gt;$S85%),$M$5,"")</f>
      </c>
      <c r="N85" s="27">
        <f>IF(AND($G85&lt;$X85%,$G85&gt;$U85%),$N$5,"")</f>
      </c>
      <c r="O85" s="27">
        <f>IF(AND($G85&lt;Y85%,G85&gt;W85%),$O$5,"")</f>
      </c>
      <c r="P85" s="91">
        <v>0</v>
      </c>
      <c r="Q85" s="92">
        <v>0</v>
      </c>
      <c r="R85" s="93">
        <v>0.0001</v>
      </c>
      <c r="S85" s="94">
        <v>1.9999</v>
      </c>
      <c r="T85" s="94">
        <v>2</v>
      </c>
      <c r="U85" s="94">
        <v>3.9999</v>
      </c>
      <c r="V85" s="94">
        <v>4</v>
      </c>
      <c r="W85" s="94">
        <v>5.9999</v>
      </c>
      <c r="X85" s="94">
        <v>6</v>
      </c>
      <c r="Y85" s="245">
        <v>10000</v>
      </c>
      <c r="Z85" s="255">
        <f t="shared" si="40"/>
        <v>0</v>
      </c>
      <c r="AA85" s="482"/>
      <c r="AB85" s="483" t="s">
        <v>220</v>
      </c>
      <c r="AC85" s="429"/>
      <c r="AD85" s="419"/>
      <c r="AE85" s="408"/>
      <c r="AF85" s="348"/>
      <c r="AG85" s="1099" t="s">
        <v>287</v>
      </c>
      <c r="AH85" s="1100"/>
      <c r="AI85" s="1100"/>
      <c r="AJ85" s="1100"/>
      <c r="AK85" s="1100"/>
      <c r="AL85" s="1100"/>
      <c r="AM85" s="1100"/>
      <c r="AN85" s="1100"/>
      <c r="AO85" s="1100"/>
      <c r="AP85" s="1100"/>
      <c r="AQ85" s="1100"/>
      <c r="AR85" s="1100"/>
      <c r="AS85" s="1100"/>
      <c r="AT85" s="1100"/>
      <c r="AU85" s="1100"/>
      <c r="AV85" s="1100"/>
      <c r="AW85" s="1100"/>
      <c r="AX85" s="1100"/>
      <c r="AY85" s="1100"/>
      <c r="AZ85" s="1101"/>
      <c r="BA85" s="357">
        <f>IF(E85&gt;F85,"ERROR INPUT","")</f>
      </c>
      <c r="BF85">
        <v>4</v>
      </c>
      <c r="BG85" s="358">
        <f t="shared" si="41"/>
        <v>0.25</v>
      </c>
      <c r="BH85">
        <f t="shared" si="42"/>
        <v>1</v>
      </c>
      <c r="BI85" s="358">
        <f t="shared" si="43"/>
        <v>0</v>
      </c>
    </row>
    <row r="86" spans="1:61" ht="37.5" customHeight="1" thickBot="1">
      <c r="A86" s="1013"/>
      <c r="B86" s="1168"/>
      <c r="C86" s="323">
        <f t="shared" si="44"/>
        <v>79</v>
      </c>
      <c r="D86" s="309" t="s">
        <v>106</v>
      </c>
      <c r="E86" s="1163"/>
      <c r="F86" s="1036"/>
      <c r="G86" s="62">
        <f aca="true" t="shared" si="46" ref="G86:G96">+E86</f>
        <v>0</v>
      </c>
      <c r="H86" s="139">
        <f aca="true" t="shared" si="47" ref="H86:H96">IF(E86="","",SUM(K86:O86))</f>
      </c>
      <c r="I86" s="687">
        <v>0.25</v>
      </c>
      <c r="J86" s="154">
        <f t="shared" si="45"/>
      </c>
      <c r="K86" s="63">
        <f>IF(OR(E86="",E86="NO"),$K$5,"")</f>
        <v>0</v>
      </c>
      <c r="L86" s="63">
        <f>IF(AND($G86&lt;$T86%,$G86&gt;$Q86%),$L$5,"")</f>
      </c>
      <c r="M86" s="63">
        <f>IF(AND($G86&lt;$V86%,$G86&gt;$S86%),$M$5,"")</f>
      </c>
      <c r="N86" s="63">
        <f>IF(AND($G86&lt;$X86%,$G86&gt;$U86%),$N$5,"")</f>
      </c>
      <c r="O86" s="63">
        <f>IF(E86="YES",$O$5,"")</f>
      </c>
      <c r="P86" s="13"/>
      <c r="Q86" s="13"/>
      <c r="R86" s="19"/>
      <c r="S86" s="19"/>
      <c r="T86" s="13"/>
      <c r="U86" s="13"/>
      <c r="V86" s="13"/>
      <c r="W86" s="13"/>
      <c r="X86" s="13"/>
      <c r="Y86" s="246"/>
      <c r="Z86" s="255">
        <f t="shared" si="40"/>
        <v>0</v>
      </c>
      <c r="AA86" s="482"/>
      <c r="AB86" s="483" t="s">
        <v>220</v>
      </c>
      <c r="AC86" s="429"/>
      <c r="AD86" s="407"/>
      <c r="AE86" s="408"/>
      <c r="AF86" s="348"/>
      <c r="AG86" s="1099" t="s">
        <v>273</v>
      </c>
      <c r="AH86" s="1100"/>
      <c r="AI86" s="1100"/>
      <c r="AJ86" s="1100"/>
      <c r="AK86" s="1100"/>
      <c r="AL86" s="1100"/>
      <c r="AM86" s="1100"/>
      <c r="AN86" s="1100"/>
      <c r="AO86" s="1100"/>
      <c r="AP86" s="1100"/>
      <c r="AQ86" s="1100"/>
      <c r="AR86" s="1100"/>
      <c r="AS86" s="1100"/>
      <c r="AT86" s="1100"/>
      <c r="AU86" s="1100"/>
      <c r="AV86" s="1100"/>
      <c r="AW86" s="1100"/>
      <c r="AX86" s="1100"/>
      <c r="AY86" s="1100"/>
      <c r="AZ86" s="1101"/>
      <c r="BA86" s="356"/>
      <c r="BF86">
        <v>4</v>
      </c>
      <c r="BG86" s="358">
        <f t="shared" si="41"/>
        <v>0.25</v>
      </c>
      <c r="BH86">
        <f t="shared" si="42"/>
        <v>1</v>
      </c>
      <c r="BI86" s="358">
        <f t="shared" si="43"/>
        <v>0</v>
      </c>
    </row>
    <row r="87" spans="1:61" ht="37.5" customHeight="1" thickBot="1">
      <c r="A87" s="1013"/>
      <c r="B87" s="1168"/>
      <c r="C87" s="323">
        <f t="shared" si="44"/>
        <v>80</v>
      </c>
      <c r="D87" s="309" t="s">
        <v>107</v>
      </c>
      <c r="E87" s="1163"/>
      <c r="F87" s="1036"/>
      <c r="G87" s="62">
        <f t="shared" si="46"/>
        <v>0</v>
      </c>
      <c r="H87" s="139">
        <f t="shared" si="47"/>
      </c>
      <c r="I87" s="687">
        <v>0.25</v>
      </c>
      <c r="J87" s="154">
        <f t="shared" si="45"/>
      </c>
      <c r="K87" s="63">
        <f>IF(OR(E87="",E87="NO"),$K$5,"")</f>
        <v>0</v>
      </c>
      <c r="L87" s="63">
        <f>IF(AND($G87&lt;$T87%,$G87&gt;$Q87%),$L$5,"")</f>
      </c>
      <c r="M87" s="63">
        <f>IF(AND($G87&lt;$V87%,$G87&gt;$S87%),$M$5,"")</f>
      </c>
      <c r="N87" s="63">
        <f>IF(AND($G87&lt;$X87%,$G87&gt;$U87%),$N$5,"")</f>
      </c>
      <c r="O87" s="63">
        <f>IF(E87="YES",$O$5,"")</f>
      </c>
      <c r="P87" s="13"/>
      <c r="Q87" s="13"/>
      <c r="R87" s="19"/>
      <c r="S87" s="19"/>
      <c r="T87" s="13"/>
      <c r="U87" s="13"/>
      <c r="V87" s="13"/>
      <c r="W87" s="13"/>
      <c r="X87" s="13"/>
      <c r="Y87" s="246"/>
      <c r="Z87" s="255">
        <f t="shared" si="40"/>
        <v>0</v>
      </c>
      <c r="AA87" s="482"/>
      <c r="AB87" s="483" t="s">
        <v>220</v>
      </c>
      <c r="AC87" s="429"/>
      <c r="AD87" s="407"/>
      <c r="AE87" s="408"/>
      <c r="AF87" s="348"/>
      <c r="AG87" s="1099" t="s">
        <v>271</v>
      </c>
      <c r="AH87" s="1100"/>
      <c r="AI87" s="1100"/>
      <c r="AJ87" s="1100"/>
      <c r="AK87" s="1100"/>
      <c r="AL87" s="1100"/>
      <c r="AM87" s="1100"/>
      <c r="AN87" s="1100"/>
      <c r="AO87" s="1100"/>
      <c r="AP87" s="1100"/>
      <c r="AQ87" s="1100"/>
      <c r="AR87" s="1100"/>
      <c r="AS87" s="1100"/>
      <c r="AT87" s="1100"/>
      <c r="AU87" s="1100"/>
      <c r="AV87" s="1100"/>
      <c r="AW87" s="1100"/>
      <c r="AX87" s="1100"/>
      <c r="AY87" s="1100"/>
      <c r="AZ87" s="1101"/>
      <c r="BA87" s="356"/>
      <c r="BF87">
        <v>4</v>
      </c>
      <c r="BG87" s="358">
        <f t="shared" si="41"/>
        <v>0.25</v>
      </c>
      <c r="BH87">
        <f t="shared" si="42"/>
        <v>1</v>
      </c>
      <c r="BI87" s="358">
        <f t="shared" si="43"/>
        <v>0</v>
      </c>
    </row>
    <row r="88" spans="1:61" ht="37.5" customHeight="1" thickBot="1">
      <c r="A88" s="1013"/>
      <c r="B88" s="1168"/>
      <c r="C88" s="323">
        <f t="shared" si="44"/>
        <v>81</v>
      </c>
      <c r="D88" s="309" t="s">
        <v>108</v>
      </c>
      <c r="E88" s="1163"/>
      <c r="F88" s="1036"/>
      <c r="G88" s="62">
        <f t="shared" si="46"/>
        <v>0</v>
      </c>
      <c r="H88" s="139">
        <f t="shared" si="47"/>
      </c>
      <c r="I88" s="687">
        <v>0.25</v>
      </c>
      <c r="J88" s="154">
        <f t="shared" si="45"/>
      </c>
      <c r="K88" s="95">
        <f>IF($E88&lt;$R88,$K$5,"")</f>
        <v>0</v>
      </c>
      <c r="L88" s="95">
        <f>IF(AND($E88&lt;$T88,$E88&gt;$Q88),$L$5,"")</f>
      </c>
      <c r="M88" s="95">
        <f>IF(AND($E88&lt;$V88,$E88&gt;$S88),$M$5,"")</f>
      </c>
      <c r="N88" s="95">
        <f>IF(AND($E88&lt;$X88,$E88&gt;$U88),$N$5,"")</f>
      </c>
      <c r="O88" s="95">
        <f>IF(AND($E88&lt;Y88,E88&gt;W88),$O$5,"")</f>
      </c>
      <c r="P88" s="13">
        <v>0</v>
      </c>
      <c r="Q88" s="13">
        <v>2</v>
      </c>
      <c r="R88" s="13">
        <v>3</v>
      </c>
      <c r="S88" s="13">
        <v>3</v>
      </c>
      <c r="T88" s="13">
        <v>4</v>
      </c>
      <c r="U88" s="13">
        <v>6</v>
      </c>
      <c r="V88" s="13">
        <v>7</v>
      </c>
      <c r="W88" s="13">
        <v>9</v>
      </c>
      <c r="X88" s="13">
        <v>10</v>
      </c>
      <c r="Y88" s="245">
        <v>10000</v>
      </c>
      <c r="Z88" s="255">
        <f t="shared" si="40"/>
        <v>0</v>
      </c>
      <c r="AA88" s="482"/>
      <c r="AB88" s="483" t="s">
        <v>220</v>
      </c>
      <c r="AC88" s="429"/>
      <c r="AD88" s="407"/>
      <c r="AE88" s="408"/>
      <c r="AF88" s="348"/>
      <c r="AG88" s="1099" t="s">
        <v>288</v>
      </c>
      <c r="AH88" s="1100"/>
      <c r="AI88" s="1100"/>
      <c r="AJ88" s="1100"/>
      <c r="AK88" s="1100"/>
      <c r="AL88" s="1100"/>
      <c r="AM88" s="1100"/>
      <c r="AN88" s="1100"/>
      <c r="AO88" s="1100"/>
      <c r="AP88" s="1100"/>
      <c r="AQ88" s="1100"/>
      <c r="AR88" s="1100"/>
      <c r="AS88" s="1100"/>
      <c r="AT88" s="1100"/>
      <c r="AU88" s="1100"/>
      <c r="AV88" s="1100"/>
      <c r="AW88" s="1100"/>
      <c r="AX88" s="1100"/>
      <c r="AY88" s="1100"/>
      <c r="AZ88" s="1101"/>
      <c r="BA88" s="356"/>
      <c r="BF88">
        <v>4</v>
      </c>
      <c r="BG88" s="358">
        <f t="shared" si="41"/>
        <v>0.25</v>
      </c>
      <c r="BH88">
        <f t="shared" si="42"/>
        <v>1</v>
      </c>
      <c r="BI88" s="358">
        <f t="shared" si="43"/>
        <v>0</v>
      </c>
    </row>
    <row r="89" spans="1:61" ht="37.5" customHeight="1" thickBot="1">
      <c r="A89" s="1013"/>
      <c r="B89" s="1168"/>
      <c r="C89" s="323">
        <f t="shared" si="44"/>
        <v>82</v>
      </c>
      <c r="D89" s="309" t="s">
        <v>109</v>
      </c>
      <c r="E89" s="1163"/>
      <c r="F89" s="1036"/>
      <c r="G89" s="62">
        <f t="shared" si="46"/>
        <v>0</v>
      </c>
      <c r="H89" s="139">
        <f t="shared" si="47"/>
      </c>
      <c r="I89" s="687">
        <v>0.25</v>
      </c>
      <c r="J89" s="154">
        <f t="shared" si="45"/>
      </c>
      <c r="K89" s="95">
        <f>IF($E89&lt;$R89,$K$5,"")</f>
        <v>0</v>
      </c>
      <c r="L89" s="95">
        <f>IF(AND($E89&lt;$T89,$E89&gt;$Q89),$L$5,"")</f>
      </c>
      <c r="M89" s="95">
        <f>IF(AND($E89&lt;$V89,$E89&gt;$S89),$M$5,"")</f>
      </c>
      <c r="N89" s="95">
        <f>IF(AND($E89&lt;$X89,$E89&gt;$U89),$N$5,"")</f>
      </c>
      <c r="O89" s="95">
        <f>IF(AND($E89&lt;Y89,E89&gt;W89),$O$5,"")</f>
      </c>
      <c r="P89" s="91">
        <v>0</v>
      </c>
      <c r="Q89" s="92">
        <v>0</v>
      </c>
      <c r="R89" s="93">
        <v>1</v>
      </c>
      <c r="S89" s="94">
        <v>49</v>
      </c>
      <c r="T89" s="94">
        <v>50</v>
      </c>
      <c r="U89" s="94">
        <v>99</v>
      </c>
      <c r="V89" s="94">
        <v>100</v>
      </c>
      <c r="W89" s="94">
        <v>199</v>
      </c>
      <c r="X89" s="94">
        <v>200</v>
      </c>
      <c r="Y89" s="245">
        <v>10000</v>
      </c>
      <c r="Z89" s="255">
        <f t="shared" si="40"/>
        <v>0</v>
      </c>
      <c r="AA89" s="482"/>
      <c r="AB89" s="483" t="s">
        <v>220</v>
      </c>
      <c r="AC89" s="429"/>
      <c r="AD89" s="407"/>
      <c r="AE89" s="408"/>
      <c r="AF89" s="348"/>
      <c r="AG89" s="1099" t="s">
        <v>289</v>
      </c>
      <c r="AH89" s="1100"/>
      <c r="AI89" s="1100"/>
      <c r="AJ89" s="1100"/>
      <c r="AK89" s="1100"/>
      <c r="AL89" s="1100"/>
      <c r="AM89" s="1100"/>
      <c r="AN89" s="1100"/>
      <c r="AO89" s="1100"/>
      <c r="AP89" s="1100"/>
      <c r="AQ89" s="1100"/>
      <c r="AR89" s="1100"/>
      <c r="AS89" s="1100"/>
      <c r="AT89" s="1100"/>
      <c r="AU89" s="1100"/>
      <c r="AV89" s="1100"/>
      <c r="AW89" s="1100"/>
      <c r="AX89" s="1100"/>
      <c r="AY89" s="1100"/>
      <c r="AZ89" s="1101"/>
      <c r="BA89" s="356"/>
      <c r="BF89">
        <v>4</v>
      </c>
      <c r="BG89" s="358">
        <f t="shared" si="41"/>
        <v>0.25</v>
      </c>
      <c r="BH89">
        <f t="shared" si="42"/>
        <v>1</v>
      </c>
      <c r="BI89" s="358">
        <f t="shared" si="43"/>
        <v>0</v>
      </c>
    </row>
    <row r="90" spans="1:61" ht="58.5" customHeight="1" thickBot="1">
      <c r="A90" s="1013"/>
      <c r="B90" s="1168"/>
      <c r="C90" s="323">
        <f t="shared" si="44"/>
        <v>83</v>
      </c>
      <c r="D90" s="309" t="s">
        <v>174</v>
      </c>
      <c r="E90" s="1163"/>
      <c r="F90" s="1036"/>
      <c r="G90" s="62">
        <f t="shared" si="46"/>
        <v>0</v>
      </c>
      <c r="H90" s="139">
        <f t="shared" si="47"/>
      </c>
      <c r="I90" s="687">
        <v>0.5</v>
      </c>
      <c r="J90" s="154">
        <f t="shared" si="45"/>
      </c>
      <c r="K90" s="95">
        <f>IF($E90&lt;$R90,$K$5,"")</f>
        <v>0</v>
      </c>
      <c r="L90" s="95">
        <f>IF(AND($E90&lt;$T90,$E90&gt;$Q90),$L$5,"")</f>
      </c>
      <c r="M90" s="95">
        <f>IF(AND($E90&lt;$V90,$E90&gt;$S90),$M$5,"")</f>
      </c>
      <c r="N90" s="95">
        <f>IF(AND($E90&lt;$X90,$E90&gt;$U90),$N$5,"")</f>
      </c>
      <c r="O90" s="95">
        <f>IF(AND($E90&lt;Y90,E90&gt;W90),$O$5,"")</f>
      </c>
      <c r="P90" s="91">
        <v>0</v>
      </c>
      <c r="Q90" s="13">
        <v>0</v>
      </c>
      <c r="R90" s="93">
        <v>1</v>
      </c>
      <c r="S90" s="94">
        <v>5</v>
      </c>
      <c r="T90" s="94">
        <v>6</v>
      </c>
      <c r="U90" s="94">
        <v>10</v>
      </c>
      <c r="V90" s="94">
        <v>11</v>
      </c>
      <c r="W90" s="94">
        <v>15</v>
      </c>
      <c r="X90" s="94">
        <v>16</v>
      </c>
      <c r="Y90" s="245">
        <v>10000</v>
      </c>
      <c r="Z90" s="255">
        <f t="shared" si="40"/>
        <v>0</v>
      </c>
      <c r="AA90" s="482"/>
      <c r="AB90" s="483" t="s">
        <v>220</v>
      </c>
      <c r="AC90" s="429"/>
      <c r="AD90" s="407"/>
      <c r="AE90" s="408"/>
      <c r="AF90" s="348"/>
      <c r="AG90" s="1099" t="s">
        <v>290</v>
      </c>
      <c r="AH90" s="1100"/>
      <c r="AI90" s="1100"/>
      <c r="AJ90" s="1100"/>
      <c r="AK90" s="1100"/>
      <c r="AL90" s="1100"/>
      <c r="AM90" s="1100"/>
      <c r="AN90" s="1100"/>
      <c r="AO90" s="1100"/>
      <c r="AP90" s="1100"/>
      <c r="AQ90" s="1100"/>
      <c r="AR90" s="1100"/>
      <c r="AS90" s="1100"/>
      <c r="AT90" s="1100"/>
      <c r="AU90" s="1100"/>
      <c r="AV90" s="1100"/>
      <c r="AW90" s="1100"/>
      <c r="AX90" s="1100"/>
      <c r="AY90" s="1100"/>
      <c r="AZ90" s="1101"/>
      <c r="BA90" s="356"/>
      <c r="BF90">
        <v>4</v>
      </c>
      <c r="BG90" s="358">
        <f t="shared" si="41"/>
        <v>0.5</v>
      </c>
      <c r="BH90">
        <f t="shared" si="42"/>
        <v>2</v>
      </c>
      <c r="BI90" s="358">
        <f t="shared" si="43"/>
        <v>0</v>
      </c>
    </row>
    <row r="91" spans="1:61" ht="55.5" customHeight="1" thickBot="1">
      <c r="A91" s="1013"/>
      <c r="B91" s="1168"/>
      <c r="C91" s="323">
        <f t="shared" si="44"/>
        <v>84</v>
      </c>
      <c r="D91" s="309" t="s">
        <v>175</v>
      </c>
      <c r="E91" s="1163"/>
      <c r="F91" s="1036"/>
      <c r="G91" s="62">
        <f t="shared" si="46"/>
        <v>0</v>
      </c>
      <c r="H91" s="139">
        <f t="shared" si="47"/>
      </c>
      <c r="I91" s="687">
        <v>0.25</v>
      </c>
      <c r="J91" s="154">
        <f t="shared" si="45"/>
      </c>
      <c r="K91" s="95">
        <f>IF($E91&lt;$R91,$K$5,"")</f>
        <v>0</v>
      </c>
      <c r="L91" s="95">
        <f>IF(AND($E91&lt;$T91,$E91&gt;$Q91),$L$5,"")</f>
      </c>
      <c r="M91" s="95">
        <f>IF(AND($E91&lt;$V91,$E91&gt;$S91),$M$5,"")</f>
      </c>
      <c r="N91" s="95">
        <f>IF(AND($E91&lt;$X91,$E91&gt;$U91),$N$5,"")</f>
      </c>
      <c r="O91" s="95">
        <f>IF(AND($E91&lt;Y91,E91&gt;W91),$O$5,"")</f>
      </c>
      <c r="P91" s="91">
        <v>0</v>
      </c>
      <c r="Q91" s="92">
        <v>0</v>
      </c>
      <c r="R91" s="93">
        <v>1</v>
      </c>
      <c r="S91" s="94">
        <v>2</v>
      </c>
      <c r="T91" s="94">
        <v>3</v>
      </c>
      <c r="U91" s="94">
        <v>5</v>
      </c>
      <c r="V91" s="94">
        <v>6</v>
      </c>
      <c r="W91" s="94">
        <v>8</v>
      </c>
      <c r="X91" s="94">
        <v>9</v>
      </c>
      <c r="Y91" s="245">
        <v>10000</v>
      </c>
      <c r="Z91" s="255">
        <f t="shared" si="40"/>
        <v>0</v>
      </c>
      <c r="AA91" s="482"/>
      <c r="AB91" s="483" t="s">
        <v>220</v>
      </c>
      <c r="AC91" s="429"/>
      <c r="AD91" s="407"/>
      <c r="AE91" s="408"/>
      <c r="AF91" s="348"/>
      <c r="AG91" s="1099" t="s">
        <v>291</v>
      </c>
      <c r="AH91" s="1100"/>
      <c r="AI91" s="1100"/>
      <c r="AJ91" s="1100"/>
      <c r="AK91" s="1100"/>
      <c r="AL91" s="1100"/>
      <c r="AM91" s="1100"/>
      <c r="AN91" s="1100"/>
      <c r="AO91" s="1100"/>
      <c r="AP91" s="1100"/>
      <c r="AQ91" s="1100"/>
      <c r="AR91" s="1100"/>
      <c r="AS91" s="1100"/>
      <c r="AT91" s="1100"/>
      <c r="AU91" s="1100"/>
      <c r="AV91" s="1100"/>
      <c r="AW91" s="1100"/>
      <c r="AX91" s="1100"/>
      <c r="AY91" s="1100"/>
      <c r="AZ91" s="1101"/>
      <c r="BA91" s="356"/>
      <c r="BF91">
        <v>4</v>
      </c>
      <c r="BG91" s="358">
        <f t="shared" si="41"/>
        <v>0.25</v>
      </c>
      <c r="BH91">
        <f t="shared" si="42"/>
        <v>1</v>
      </c>
      <c r="BI91" s="358">
        <f t="shared" si="43"/>
        <v>0</v>
      </c>
    </row>
    <row r="92" spans="1:61" ht="37.5" customHeight="1" thickBot="1">
      <c r="A92" s="1013"/>
      <c r="B92" s="1168"/>
      <c r="C92" s="323">
        <f t="shared" si="44"/>
        <v>85</v>
      </c>
      <c r="D92" s="309" t="s">
        <v>110</v>
      </c>
      <c r="E92" s="1163"/>
      <c r="F92" s="1036"/>
      <c r="G92" s="62">
        <f t="shared" si="46"/>
        <v>0</v>
      </c>
      <c r="H92" s="139">
        <f t="shared" si="47"/>
      </c>
      <c r="I92" s="687">
        <v>0.25</v>
      </c>
      <c r="J92" s="154">
        <f t="shared" si="45"/>
      </c>
      <c r="K92" s="63">
        <f>IF(OR(E92="",E92="NO"),$K$5,"")</f>
        <v>0</v>
      </c>
      <c r="L92" s="63">
        <f>IF(AND($G92&lt;$T92%,$G92&gt;$Q92%),$L$5,"")</f>
      </c>
      <c r="M92" s="63">
        <f>IF(AND($G92&lt;$V92%,$G92&gt;$S92%),$M$5,"")</f>
      </c>
      <c r="N92" s="63">
        <f>IF(AND($G92&lt;$X92%,$G92&gt;$U92%),$N$5,"")</f>
      </c>
      <c r="O92" s="63">
        <f>IF(E92="YES",$O$5,"")</f>
      </c>
      <c r="P92" s="13"/>
      <c r="Q92" s="13"/>
      <c r="R92" s="19"/>
      <c r="S92" s="19"/>
      <c r="T92" s="13"/>
      <c r="U92" s="13"/>
      <c r="V92" s="13"/>
      <c r="W92" s="13"/>
      <c r="X92" s="13"/>
      <c r="Y92" s="246"/>
      <c r="Z92" s="255">
        <f t="shared" si="40"/>
        <v>0</v>
      </c>
      <c r="AA92" s="482"/>
      <c r="AB92" s="483" t="s">
        <v>220</v>
      </c>
      <c r="AC92" s="429"/>
      <c r="AD92" s="407"/>
      <c r="AE92" s="408"/>
      <c r="AF92" s="348"/>
      <c r="AG92" s="1099" t="s">
        <v>292</v>
      </c>
      <c r="AH92" s="1100"/>
      <c r="AI92" s="1100"/>
      <c r="AJ92" s="1100"/>
      <c r="AK92" s="1100"/>
      <c r="AL92" s="1100"/>
      <c r="AM92" s="1100"/>
      <c r="AN92" s="1100"/>
      <c r="AO92" s="1100"/>
      <c r="AP92" s="1100"/>
      <c r="AQ92" s="1100"/>
      <c r="AR92" s="1100"/>
      <c r="AS92" s="1100"/>
      <c r="AT92" s="1100"/>
      <c r="AU92" s="1100"/>
      <c r="AV92" s="1100"/>
      <c r="AW92" s="1100"/>
      <c r="AX92" s="1100"/>
      <c r="AY92" s="1100"/>
      <c r="AZ92" s="1101"/>
      <c r="BA92" s="356"/>
      <c r="BF92">
        <v>4</v>
      </c>
      <c r="BG92" s="358">
        <f t="shared" si="41"/>
        <v>0.25</v>
      </c>
      <c r="BH92">
        <f t="shared" si="42"/>
        <v>1</v>
      </c>
      <c r="BI92" s="358">
        <f t="shared" si="43"/>
        <v>0</v>
      </c>
    </row>
    <row r="93" spans="1:61" ht="37.5" customHeight="1" thickBot="1">
      <c r="A93" s="1013"/>
      <c r="B93" s="1168"/>
      <c r="C93" s="323">
        <f t="shared" si="44"/>
        <v>86</v>
      </c>
      <c r="D93" s="309" t="s">
        <v>111</v>
      </c>
      <c r="E93" s="1163"/>
      <c r="F93" s="1036"/>
      <c r="G93" s="62">
        <f t="shared" si="46"/>
        <v>0</v>
      </c>
      <c r="H93" s="139">
        <f t="shared" si="47"/>
      </c>
      <c r="I93" s="687">
        <v>0.25</v>
      </c>
      <c r="J93" s="154">
        <f t="shared" si="45"/>
      </c>
      <c r="K93" s="63">
        <f>IF(OR(E93="",E93="NO"),$K$5,"")</f>
        <v>0</v>
      </c>
      <c r="L93" s="63">
        <f>IF(AND($G93&lt;$T93%,$G93&gt;$Q93%),$L$5,"")</f>
      </c>
      <c r="M93" s="63">
        <f>IF(AND($G93&lt;$V93%,$G93&gt;$S93%),$M$5,"")</f>
      </c>
      <c r="N93" s="63">
        <f>IF(AND($G93&lt;$X93%,$G93&gt;$U93%),$N$5,"")</f>
      </c>
      <c r="O93" s="63">
        <f>IF(E93="YES",$O$5,"")</f>
      </c>
      <c r="P93" s="13"/>
      <c r="Q93" s="13"/>
      <c r="R93" s="19"/>
      <c r="S93" s="19"/>
      <c r="T93" s="13"/>
      <c r="U93" s="13"/>
      <c r="V93" s="13"/>
      <c r="W93" s="13"/>
      <c r="X93" s="13"/>
      <c r="Y93" s="246"/>
      <c r="Z93" s="255">
        <f t="shared" si="40"/>
        <v>0</v>
      </c>
      <c r="AA93" s="482"/>
      <c r="AB93" s="483" t="s">
        <v>220</v>
      </c>
      <c r="AC93" s="429"/>
      <c r="AD93" s="407"/>
      <c r="AE93" s="408"/>
      <c r="AF93" s="348"/>
      <c r="AG93" s="1099" t="s">
        <v>293</v>
      </c>
      <c r="AH93" s="1100"/>
      <c r="AI93" s="1100"/>
      <c r="AJ93" s="1100"/>
      <c r="AK93" s="1100"/>
      <c r="AL93" s="1100"/>
      <c r="AM93" s="1100"/>
      <c r="AN93" s="1100"/>
      <c r="AO93" s="1100"/>
      <c r="AP93" s="1100"/>
      <c r="AQ93" s="1100"/>
      <c r="AR93" s="1100"/>
      <c r="AS93" s="1100"/>
      <c r="AT93" s="1100"/>
      <c r="AU93" s="1100"/>
      <c r="AV93" s="1100"/>
      <c r="AW93" s="1100"/>
      <c r="AX93" s="1100"/>
      <c r="AY93" s="1100"/>
      <c r="AZ93" s="1101"/>
      <c r="BA93" s="356"/>
      <c r="BF93">
        <v>4</v>
      </c>
      <c r="BG93" s="358">
        <f t="shared" si="41"/>
        <v>0.25</v>
      </c>
      <c r="BH93">
        <f t="shared" si="42"/>
        <v>1</v>
      </c>
      <c r="BI93" s="358">
        <f t="shared" si="43"/>
        <v>0</v>
      </c>
    </row>
    <row r="94" spans="1:61" ht="37.5" customHeight="1" thickBot="1">
      <c r="A94" s="1013"/>
      <c r="B94" s="1169"/>
      <c r="C94" s="323">
        <f t="shared" si="44"/>
        <v>87</v>
      </c>
      <c r="D94" s="309" t="s">
        <v>112</v>
      </c>
      <c r="E94" s="1163"/>
      <c r="F94" s="1036"/>
      <c r="G94" s="62">
        <f t="shared" si="46"/>
        <v>0</v>
      </c>
      <c r="H94" s="139">
        <f t="shared" si="47"/>
      </c>
      <c r="I94" s="687">
        <v>0.25</v>
      </c>
      <c r="J94" s="154">
        <f t="shared" si="45"/>
      </c>
      <c r="K94" s="63">
        <f>IF(OR(E94="",E94="NO"),$K$5,"")</f>
        <v>0</v>
      </c>
      <c r="L94" s="63">
        <f>IF(AND($G94&lt;$T94%,$G94&gt;$Q94%),$L$5,"")</f>
      </c>
      <c r="M94" s="63">
        <f>IF(AND($G94&lt;$V94%,$G94&gt;$S94%),$M$5,"")</f>
      </c>
      <c r="N94" s="63">
        <f>IF(AND($G94&lt;$X94%,$G94&gt;$U94%),$N$5,"")</f>
      </c>
      <c r="O94" s="63">
        <f>IF(E94="YES",$O$5,"")</f>
      </c>
      <c r="P94" s="13"/>
      <c r="Q94" s="13"/>
      <c r="R94" s="19"/>
      <c r="S94" s="19"/>
      <c r="T94" s="13"/>
      <c r="U94" s="13"/>
      <c r="V94" s="13"/>
      <c r="W94" s="13"/>
      <c r="X94" s="13"/>
      <c r="Y94" s="246"/>
      <c r="Z94" s="255">
        <f t="shared" si="40"/>
        <v>0</v>
      </c>
      <c r="AA94" s="482"/>
      <c r="AB94" s="483" t="s">
        <v>220</v>
      </c>
      <c r="AC94" s="429"/>
      <c r="AD94" s="407"/>
      <c r="AE94" s="408"/>
      <c r="AF94" s="348"/>
      <c r="AG94" s="1099" t="s">
        <v>293</v>
      </c>
      <c r="AH94" s="1100"/>
      <c r="AI94" s="1100"/>
      <c r="AJ94" s="1100"/>
      <c r="AK94" s="1100"/>
      <c r="AL94" s="1100"/>
      <c r="AM94" s="1100"/>
      <c r="AN94" s="1100"/>
      <c r="AO94" s="1100"/>
      <c r="AP94" s="1100"/>
      <c r="AQ94" s="1100"/>
      <c r="AR94" s="1100"/>
      <c r="AS94" s="1100"/>
      <c r="AT94" s="1100"/>
      <c r="AU94" s="1100"/>
      <c r="AV94" s="1100"/>
      <c r="AW94" s="1100"/>
      <c r="AX94" s="1100"/>
      <c r="AY94" s="1100"/>
      <c r="AZ94" s="1101"/>
      <c r="BA94" s="356"/>
      <c r="BF94">
        <v>4</v>
      </c>
      <c r="BG94" s="358">
        <f t="shared" si="41"/>
        <v>0.25</v>
      </c>
      <c r="BH94">
        <f t="shared" si="42"/>
        <v>1</v>
      </c>
      <c r="BI94" s="358">
        <f t="shared" si="43"/>
        <v>0</v>
      </c>
    </row>
    <row r="95" spans="1:61" ht="37.5" customHeight="1" thickBot="1">
      <c r="A95" s="1013" t="s">
        <v>18</v>
      </c>
      <c r="B95" s="1031" t="s">
        <v>20</v>
      </c>
      <c r="C95" s="323">
        <f t="shared" si="44"/>
        <v>88</v>
      </c>
      <c r="D95" s="309" t="s">
        <v>113</v>
      </c>
      <c r="E95" s="1163"/>
      <c r="F95" s="1036"/>
      <c r="G95" s="62">
        <f t="shared" si="46"/>
        <v>0</v>
      </c>
      <c r="H95" s="139">
        <f t="shared" si="47"/>
      </c>
      <c r="I95" s="687">
        <v>0.5</v>
      </c>
      <c r="J95" s="154">
        <f t="shared" si="45"/>
      </c>
      <c r="K95" s="95">
        <f>IF($E95&lt;$R95,$K$5,"")</f>
        <v>0</v>
      </c>
      <c r="L95" s="95">
        <f>IF(AND($E95&lt;$T95,$E95&gt;$Q95),$L$5,"")</f>
      </c>
      <c r="M95" s="95">
        <f>IF(AND($E95&lt;$V95,$E95&gt;$S95),$M$5,"")</f>
      </c>
      <c r="N95" s="95">
        <f>IF(AND($E95&lt;$X95,$E95&gt;$U95),$N$5,"")</f>
      </c>
      <c r="O95" s="95">
        <f>IF(AND($E95&lt;Y95,E95&gt;W95),$O$5,"")</f>
      </c>
      <c r="P95" s="91">
        <v>0</v>
      </c>
      <c r="Q95" s="13">
        <v>0</v>
      </c>
      <c r="R95" s="93">
        <v>1</v>
      </c>
      <c r="S95" s="94">
        <v>5</v>
      </c>
      <c r="T95" s="94">
        <v>6</v>
      </c>
      <c r="U95" s="94">
        <v>10</v>
      </c>
      <c r="V95" s="94">
        <v>11</v>
      </c>
      <c r="W95" s="94">
        <v>15</v>
      </c>
      <c r="X95" s="94">
        <v>16</v>
      </c>
      <c r="Y95" s="245">
        <v>10000</v>
      </c>
      <c r="Z95" s="255">
        <f t="shared" si="40"/>
        <v>0</v>
      </c>
      <c r="AA95" s="482"/>
      <c r="AB95" s="483" t="s">
        <v>220</v>
      </c>
      <c r="AC95" s="429"/>
      <c r="AD95" s="407"/>
      <c r="AE95" s="408"/>
      <c r="AF95" s="348"/>
      <c r="AG95" s="1099" t="s">
        <v>294</v>
      </c>
      <c r="AH95" s="1100"/>
      <c r="AI95" s="1100"/>
      <c r="AJ95" s="1100"/>
      <c r="AK95" s="1100"/>
      <c r="AL95" s="1100"/>
      <c r="AM95" s="1100"/>
      <c r="AN95" s="1100"/>
      <c r="AO95" s="1100"/>
      <c r="AP95" s="1100"/>
      <c r="AQ95" s="1100"/>
      <c r="AR95" s="1100"/>
      <c r="AS95" s="1100"/>
      <c r="AT95" s="1100"/>
      <c r="AU95" s="1100"/>
      <c r="AV95" s="1100"/>
      <c r="AW95" s="1100"/>
      <c r="AX95" s="1100"/>
      <c r="AY95" s="1100"/>
      <c r="AZ95" s="1101"/>
      <c r="BA95" s="356"/>
      <c r="BF95">
        <v>4</v>
      </c>
      <c r="BG95" s="358">
        <f t="shared" si="41"/>
        <v>0.5</v>
      </c>
      <c r="BH95">
        <f t="shared" si="42"/>
        <v>2</v>
      </c>
      <c r="BI95" s="358">
        <f t="shared" si="43"/>
        <v>0</v>
      </c>
    </row>
    <row r="96" spans="1:61" ht="37.5" customHeight="1" thickBot="1">
      <c r="A96" s="1013"/>
      <c r="B96" s="1031"/>
      <c r="C96" s="323">
        <f t="shared" si="44"/>
        <v>89</v>
      </c>
      <c r="D96" s="309" t="s">
        <v>114</v>
      </c>
      <c r="E96" s="1163"/>
      <c r="F96" s="1036"/>
      <c r="G96" s="62">
        <f t="shared" si="46"/>
        <v>0</v>
      </c>
      <c r="H96" s="139">
        <f t="shared" si="47"/>
      </c>
      <c r="I96" s="687">
        <v>0.25</v>
      </c>
      <c r="J96" s="154">
        <f t="shared" si="45"/>
      </c>
      <c r="K96" s="63">
        <f>IF(OR(E96="",E96="NO"),$K$5,"")</f>
        <v>0</v>
      </c>
      <c r="L96" s="63">
        <f>IF(AND($G96&lt;$T96%,$G96&gt;$Q96%),$L$5,"")</f>
      </c>
      <c r="M96" s="63">
        <f>IF(AND($G96&lt;$V96%,$G96&gt;$S96%),$M$5,"")</f>
      </c>
      <c r="N96" s="63">
        <f>IF(AND($G96&lt;$X96%,$G96&gt;$U96%),$N$5,"")</f>
      </c>
      <c r="O96" s="63">
        <f>IF(E96="YES",$O$5,"")</f>
      </c>
      <c r="P96" s="13"/>
      <c r="Q96" s="13"/>
      <c r="R96" s="19"/>
      <c r="S96" s="19"/>
      <c r="T96" s="13"/>
      <c r="U96" s="13"/>
      <c r="V96" s="13"/>
      <c r="W96" s="13"/>
      <c r="X96" s="13"/>
      <c r="Y96" s="246"/>
      <c r="Z96" s="255">
        <f t="shared" si="40"/>
        <v>0</v>
      </c>
      <c r="AA96" s="482"/>
      <c r="AB96" s="483" t="s">
        <v>220</v>
      </c>
      <c r="AC96" s="429"/>
      <c r="AD96" s="407"/>
      <c r="AE96" s="408"/>
      <c r="AF96" s="348"/>
      <c r="AG96" s="1099" t="s">
        <v>295</v>
      </c>
      <c r="AH96" s="1100"/>
      <c r="AI96" s="1100"/>
      <c r="AJ96" s="1100"/>
      <c r="AK96" s="1100"/>
      <c r="AL96" s="1100"/>
      <c r="AM96" s="1100"/>
      <c r="AN96" s="1100"/>
      <c r="AO96" s="1100"/>
      <c r="AP96" s="1100"/>
      <c r="AQ96" s="1100"/>
      <c r="AR96" s="1100"/>
      <c r="AS96" s="1100"/>
      <c r="AT96" s="1100"/>
      <c r="AU96" s="1100"/>
      <c r="AV96" s="1100"/>
      <c r="AW96" s="1100"/>
      <c r="AX96" s="1100"/>
      <c r="AY96" s="1100"/>
      <c r="AZ96" s="1101"/>
      <c r="BA96" s="356"/>
      <c r="BF96">
        <v>4</v>
      </c>
      <c r="BG96" s="358">
        <f t="shared" si="41"/>
        <v>0.25</v>
      </c>
      <c r="BH96">
        <f t="shared" si="42"/>
        <v>1</v>
      </c>
      <c r="BI96" s="358">
        <f t="shared" si="43"/>
        <v>0</v>
      </c>
    </row>
    <row r="97" spans="1:61" ht="37.5" customHeight="1" thickBot="1">
      <c r="A97" s="1013"/>
      <c r="B97" s="1031"/>
      <c r="C97" s="323">
        <f t="shared" si="44"/>
        <v>90</v>
      </c>
      <c r="D97" s="309" t="s">
        <v>115</v>
      </c>
      <c r="E97" s="657"/>
      <c r="F97" s="216">
        <f>+$E$7</f>
        <v>0</v>
      </c>
      <c r="G97" s="173">
        <f>IF(E97="","",ROUND(E97/F97,4))</f>
      </c>
      <c r="H97" s="139">
        <f>IF(OR(E97="",F97="",F97=0),"",SUM(K97:O97))</f>
      </c>
      <c r="I97" s="687">
        <v>0.25</v>
      </c>
      <c r="J97" s="154">
        <f t="shared" si="45"/>
      </c>
      <c r="K97" s="27">
        <f>IF($G97&lt;$R97%,$K$5,"")</f>
      </c>
      <c r="L97" s="27">
        <f>IF(AND($G97&lt;$T97%,$G97&gt;$Q97%),$L$5,"")</f>
      </c>
      <c r="M97" s="27">
        <f>IF(AND($G97&lt;$V97%,$G97&gt;$S97%),$M$5,"")</f>
      </c>
      <c r="N97" s="27">
        <f>IF(AND($G97&lt;$X97%,$G97&gt;$U97%),$N$5,"")</f>
      </c>
      <c r="O97" s="27">
        <f>IF(AND($G97&lt;Y97%,G97&gt;W97%),$O$5,"")</f>
      </c>
      <c r="P97" s="91">
        <v>0</v>
      </c>
      <c r="Q97" s="92">
        <v>0</v>
      </c>
      <c r="R97" s="93">
        <v>0.0001</v>
      </c>
      <c r="S97" s="94">
        <v>4.9999</v>
      </c>
      <c r="T97" s="94">
        <v>5</v>
      </c>
      <c r="U97" s="94">
        <v>9.9999</v>
      </c>
      <c r="V97" s="94">
        <v>10</v>
      </c>
      <c r="W97" s="94">
        <v>14.9999</v>
      </c>
      <c r="X97" s="94">
        <v>15</v>
      </c>
      <c r="Y97" s="245">
        <v>10000</v>
      </c>
      <c r="Z97" s="255">
        <f t="shared" si="40"/>
        <v>0</v>
      </c>
      <c r="AA97" s="482"/>
      <c r="AB97" s="483" t="s">
        <v>220</v>
      </c>
      <c r="AC97" s="429"/>
      <c r="AD97" s="407"/>
      <c r="AE97" s="408"/>
      <c r="AF97" s="348"/>
      <c r="AG97" s="1099" t="s">
        <v>296</v>
      </c>
      <c r="AH97" s="1100"/>
      <c r="AI97" s="1100"/>
      <c r="AJ97" s="1100"/>
      <c r="AK97" s="1100"/>
      <c r="AL97" s="1100"/>
      <c r="AM97" s="1100"/>
      <c r="AN97" s="1100"/>
      <c r="AO97" s="1100"/>
      <c r="AP97" s="1100"/>
      <c r="AQ97" s="1100"/>
      <c r="AR97" s="1100"/>
      <c r="AS97" s="1100"/>
      <c r="AT97" s="1100"/>
      <c r="AU97" s="1100"/>
      <c r="AV97" s="1100"/>
      <c r="AW97" s="1100"/>
      <c r="AX97" s="1100"/>
      <c r="AY97" s="1100"/>
      <c r="AZ97" s="1101"/>
      <c r="BA97" s="357">
        <f>IF(E97&gt;F97,"ERROR INPUT","")</f>
      </c>
      <c r="BF97">
        <v>4</v>
      </c>
      <c r="BG97" s="358">
        <f t="shared" si="41"/>
        <v>0.25</v>
      </c>
      <c r="BH97">
        <f t="shared" si="42"/>
        <v>1</v>
      </c>
      <c r="BI97" s="358">
        <f t="shared" si="43"/>
        <v>0</v>
      </c>
    </row>
    <row r="98" spans="1:61" ht="37.5" customHeight="1" thickBot="1">
      <c r="A98" s="1013"/>
      <c r="B98" s="1031"/>
      <c r="C98" s="323">
        <f t="shared" si="44"/>
        <v>91</v>
      </c>
      <c r="D98" s="309" t="s">
        <v>176</v>
      </c>
      <c r="E98" s="1163"/>
      <c r="F98" s="1036"/>
      <c r="G98" s="62">
        <f aca="true" t="shared" si="48" ref="G98:G107">+E98</f>
        <v>0</v>
      </c>
      <c r="H98" s="139">
        <f aca="true" t="shared" si="49" ref="H98:H107">IF(E98="","",SUM(K98:O98))</f>
      </c>
      <c r="I98" s="687">
        <v>0.25</v>
      </c>
      <c r="J98" s="154">
        <f t="shared" si="45"/>
      </c>
      <c r="K98" s="63">
        <f aca="true" t="shared" si="50" ref="K98:K107">IF(OR(E98="",E98="NO"),$K$5,"")</f>
        <v>0</v>
      </c>
      <c r="L98" s="63">
        <f aca="true" t="shared" si="51" ref="L98:L107">IF(AND($G98&lt;$T98%,$G98&gt;$Q98%),$L$5,"")</f>
      </c>
      <c r="M98" s="63">
        <f aca="true" t="shared" si="52" ref="M98:M107">IF(AND($G98&lt;$V98%,$G98&gt;$S98%),$M$5,"")</f>
      </c>
      <c r="N98" s="63">
        <f aca="true" t="shared" si="53" ref="N98:N107">IF(AND($G98&lt;$X98%,$G98&gt;$U98%),$N$5,"")</f>
      </c>
      <c r="O98" s="63">
        <f aca="true" t="shared" si="54" ref="O98:O107">IF(E98="YES",$O$5,"")</f>
      </c>
      <c r="P98" s="13"/>
      <c r="Q98" s="13"/>
      <c r="R98" s="19"/>
      <c r="S98" s="19"/>
      <c r="T98" s="13"/>
      <c r="U98" s="13"/>
      <c r="V98" s="13"/>
      <c r="W98" s="13"/>
      <c r="X98" s="13"/>
      <c r="Y98" s="246"/>
      <c r="Z98" s="255">
        <f t="shared" si="40"/>
        <v>0</v>
      </c>
      <c r="AA98" s="482"/>
      <c r="AB98" s="483" t="s">
        <v>220</v>
      </c>
      <c r="AC98" s="429"/>
      <c r="AD98" s="407"/>
      <c r="AE98" s="408"/>
      <c r="AF98" s="348"/>
      <c r="AG98" s="1099" t="s">
        <v>297</v>
      </c>
      <c r="AH98" s="1100"/>
      <c r="AI98" s="1100"/>
      <c r="AJ98" s="1100"/>
      <c r="AK98" s="1100"/>
      <c r="AL98" s="1100"/>
      <c r="AM98" s="1100"/>
      <c r="AN98" s="1100"/>
      <c r="AO98" s="1100"/>
      <c r="AP98" s="1100"/>
      <c r="AQ98" s="1100"/>
      <c r="AR98" s="1100"/>
      <c r="AS98" s="1100"/>
      <c r="AT98" s="1100"/>
      <c r="AU98" s="1100"/>
      <c r="AV98" s="1100"/>
      <c r="AW98" s="1100"/>
      <c r="AX98" s="1100"/>
      <c r="AY98" s="1100"/>
      <c r="AZ98" s="1101"/>
      <c r="BA98" s="356"/>
      <c r="BF98">
        <v>4</v>
      </c>
      <c r="BG98" s="358">
        <f t="shared" si="41"/>
        <v>0.25</v>
      </c>
      <c r="BH98">
        <f t="shared" si="42"/>
        <v>1</v>
      </c>
      <c r="BI98" s="358">
        <f t="shared" si="43"/>
        <v>0</v>
      </c>
    </row>
    <row r="99" spans="1:61" ht="37.5" customHeight="1" thickBot="1">
      <c r="A99" s="1013"/>
      <c r="B99" s="1031"/>
      <c r="C99" s="323">
        <f t="shared" si="44"/>
        <v>92</v>
      </c>
      <c r="D99" s="309" t="s">
        <v>116</v>
      </c>
      <c r="E99" s="1163"/>
      <c r="F99" s="1036"/>
      <c r="G99" s="62">
        <f t="shared" si="48"/>
        <v>0</v>
      </c>
      <c r="H99" s="139">
        <f t="shared" si="49"/>
      </c>
      <c r="I99" s="687">
        <v>0.5</v>
      </c>
      <c r="J99" s="154">
        <f t="shared" si="45"/>
      </c>
      <c r="K99" s="63">
        <f t="shared" si="50"/>
        <v>0</v>
      </c>
      <c r="L99" s="63">
        <f t="shared" si="51"/>
      </c>
      <c r="M99" s="63">
        <f t="shared" si="52"/>
      </c>
      <c r="N99" s="63">
        <f t="shared" si="53"/>
      </c>
      <c r="O99" s="63">
        <f t="shared" si="54"/>
      </c>
      <c r="P99" s="13"/>
      <c r="Q99" s="13"/>
      <c r="R99" s="19"/>
      <c r="S99" s="19"/>
      <c r="T99" s="13"/>
      <c r="U99" s="13"/>
      <c r="V99" s="13"/>
      <c r="W99" s="13"/>
      <c r="X99" s="13"/>
      <c r="Y99" s="246"/>
      <c r="Z99" s="255">
        <f t="shared" si="40"/>
        <v>0</v>
      </c>
      <c r="AA99" s="482"/>
      <c r="AB99" s="483" t="s">
        <v>220</v>
      </c>
      <c r="AC99" s="429"/>
      <c r="AD99" s="407"/>
      <c r="AE99" s="408"/>
      <c r="AF99" s="348"/>
      <c r="AG99" s="1099" t="s">
        <v>298</v>
      </c>
      <c r="AH99" s="1100"/>
      <c r="AI99" s="1100"/>
      <c r="AJ99" s="1100"/>
      <c r="AK99" s="1100"/>
      <c r="AL99" s="1100"/>
      <c r="AM99" s="1100"/>
      <c r="AN99" s="1100"/>
      <c r="AO99" s="1100"/>
      <c r="AP99" s="1100"/>
      <c r="AQ99" s="1100"/>
      <c r="AR99" s="1100"/>
      <c r="AS99" s="1100"/>
      <c r="AT99" s="1100"/>
      <c r="AU99" s="1100"/>
      <c r="AV99" s="1100"/>
      <c r="AW99" s="1100"/>
      <c r="AX99" s="1100"/>
      <c r="AY99" s="1100"/>
      <c r="AZ99" s="1101"/>
      <c r="BA99" s="356"/>
      <c r="BF99">
        <v>4</v>
      </c>
      <c r="BG99" s="358">
        <f t="shared" si="41"/>
        <v>0.5</v>
      </c>
      <c r="BH99">
        <f t="shared" si="42"/>
        <v>2</v>
      </c>
      <c r="BI99" s="358">
        <f t="shared" si="43"/>
        <v>0</v>
      </c>
    </row>
    <row r="100" spans="1:61" ht="37.5" customHeight="1" thickBot="1">
      <c r="A100" s="1013"/>
      <c r="B100" s="1031"/>
      <c r="C100" s="323">
        <f t="shared" si="44"/>
        <v>93</v>
      </c>
      <c r="D100" s="309" t="s">
        <v>117</v>
      </c>
      <c r="E100" s="1163"/>
      <c r="F100" s="1036"/>
      <c r="G100" s="62">
        <f t="shared" si="48"/>
        <v>0</v>
      </c>
      <c r="H100" s="139">
        <f t="shared" si="49"/>
      </c>
      <c r="I100" s="687">
        <v>0.25</v>
      </c>
      <c r="J100" s="154">
        <f t="shared" si="45"/>
      </c>
      <c r="K100" s="63">
        <f t="shared" si="50"/>
        <v>0</v>
      </c>
      <c r="L100" s="63">
        <f t="shared" si="51"/>
      </c>
      <c r="M100" s="63">
        <f t="shared" si="52"/>
      </c>
      <c r="N100" s="63">
        <f t="shared" si="53"/>
      </c>
      <c r="O100" s="63">
        <f t="shared" si="54"/>
      </c>
      <c r="P100" s="13"/>
      <c r="Q100" s="13"/>
      <c r="R100" s="19"/>
      <c r="S100" s="19"/>
      <c r="T100" s="13"/>
      <c r="U100" s="13"/>
      <c r="V100" s="13"/>
      <c r="W100" s="13"/>
      <c r="X100" s="13"/>
      <c r="Y100" s="246"/>
      <c r="Z100" s="255">
        <f t="shared" si="40"/>
        <v>0</v>
      </c>
      <c r="AA100" s="482"/>
      <c r="AB100" s="483" t="s">
        <v>220</v>
      </c>
      <c r="AC100" s="429"/>
      <c r="AD100" s="407"/>
      <c r="AE100" s="408"/>
      <c r="AF100" s="348"/>
      <c r="AG100" s="1099" t="s">
        <v>298</v>
      </c>
      <c r="AH100" s="1100"/>
      <c r="AI100" s="1100"/>
      <c r="AJ100" s="1100"/>
      <c r="AK100" s="1100"/>
      <c r="AL100" s="1100"/>
      <c r="AM100" s="1100"/>
      <c r="AN100" s="1100"/>
      <c r="AO100" s="1100"/>
      <c r="AP100" s="1100"/>
      <c r="AQ100" s="1100"/>
      <c r="AR100" s="1100"/>
      <c r="AS100" s="1100"/>
      <c r="AT100" s="1100"/>
      <c r="AU100" s="1100"/>
      <c r="AV100" s="1100"/>
      <c r="AW100" s="1100"/>
      <c r="AX100" s="1100"/>
      <c r="AY100" s="1100"/>
      <c r="AZ100" s="1101"/>
      <c r="BA100" s="356"/>
      <c r="BF100">
        <v>4</v>
      </c>
      <c r="BG100" s="358">
        <f t="shared" si="41"/>
        <v>0.25</v>
      </c>
      <c r="BH100">
        <f t="shared" si="42"/>
        <v>1</v>
      </c>
      <c r="BI100" s="358">
        <f t="shared" si="43"/>
        <v>0</v>
      </c>
    </row>
    <row r="101" spans="1:61" ht="37.5" customHeight="1" thickBot="1">
      <c r="A101" s="1013"/>
      <c r="B101" s="1031"/>
      <c r="C101" s="323">
        <f t="shared" si="44"/>
        <v>94</v>
      </c>
      <c r="D101" s="309" t="s">
        <v>118</v>
      </c>
      <c r="E101" s="1163"/>
      <c r="F101" s="1036"/>
      <c r="G101" s="62">
        <f t="shared" si="48"/>
        <v>0</v>
      </c>
      <c r="H101" s="139">
        <f t="shared" si="49"/>
      </c>
      <c r="I101" s="687">
        <v>0.25</v>
      </c>
      <c r="J101" s="154">
        <f t="shared" si="45"/>
      </c>
      <c r="K101" s="63">
        <f t="shared" si="50"/>
        <v>0</v>
      </c>
      <c r="L101" s="63">
        <f t="shared" si="51"/>
      </c>
      <c r="M101" s="63">
        <f t="shared" si="52"/>
      </c>
      <c r="N101" s="63">
        <f t="shared" si="53"/>
      </c>
      <c r="O101" s="63">
        <f t="shared" si="54"/>
      </c>
      <c r="P101" s="13"/>
      <c r="Q101" s="13"/>
      <c r="R101" s="19"/>
      <c r="S101" s="19"/>
      <c r="T101" s="13"/>
      <c r="U101" s="13"/>
      <c r="V101" s="13"/>
      <c r="W101" s="13"/>
      <c r="X101" s="13"/>
      <c r="Y101" s="246"/>
      <c r="Z101" s="255">
        <f t="shared" si="40"/>
        <v>0</v>
      </c>
      <c r="AA101" s="482"/>
      <c r="AB101" s="483" t="s">
        <v>220</v>
      </c>
      <c r="AC101" s="429"/>
      <c r="AD101" s="407"/>
      <c r="AE101" s="408"/>
      <c r="AF101" s="348"/>
      <c r="AG101" s="1099" t="s">
        <v>298</v>
      </c>
      <c r="AH101" s="1100"/>
      <c r="AI101" s="1100"/>
      <c r="AJ101" s="1100"/>
      <c r="AK101" s="1100"/>
      <c r="AL101" s="1100"/>
      <c r="AM101" s="1100"/>
      <c r="AN101" s="1100"/>
      <c r="AO101" s="1100"/>
      <c r="AP101" s="1100"/>
      <c r="AQ101" s="1100"/>
      <c r="AR101" s="1100"/>
      <c r="AS101" s="1100"/>
      <c r="AT101" s="1100"/>
      <c r="AU101" s="1100"/>
      <c r="AV101" s="1100"/>
      <c r="AW101" s="1100"/>
      <c r="AX101" s="1100"/>
      <c r="AY101" s="1100"/>
      <c r="AZ101" s="1101"/>
      <c r="BA101" s="356"/>
      <c r="BF101">
        <v>4</v>
      </c>
      <c r="BG101" s="358">
        <f t="shared" si="41"/>
        <v>0.25</v>
      </c>
      <c r="BH101">
        <f t="shared" si="42"/>
        <v>1</v>
      </c>
      <c r="BI101" s="358">
        <f t="shared" si="43"/>
        <v>0</v>
      </c>
    </row>
    <row r="102" spans="1:61" ht="37.5" customHeight="1" thickBot="1">
      <c r="A102" s="1013"/>
      <c r="B102" s="1031"/>
      <c r="C102" s="323">
        <f t="shared" si="44"/>
        <v>95</v>
      </c>
      <c r="D102" s="309" t="s">
        <v>119</v>
      </c>
      <c r="E102" s="1163"/>
      <c r="F102" s="1036"/>
      <c r="G102" s="62">
        <f t="shared" si="48"/>
        <v>0</v>
      </c>
      <c r="H102" s="139">
        <f t="shared" si="49"/>
      </c>
      <c r="I102" s="687">
        <v>0.25</v>
      </c>
      <c r="J102" s="154">
        <f t="shared" si="45"/>
      </c>
      <c r="K102" s="63">
        <f t="shared" si="50"/>
        <v>0</v>
      </c>
      <c r="L102" s="63">
        <f t="shared" si="51"/>
      </c>
      <c r="M102" s="63">
        <f t="shared" si="52"/>
      </c>
      <c r="N102" s="63">
        <f t="shared" si="53"/>
      </c>
      <c r="O102" s="63">
        <f t="shared" si="54"/>
      </c>
      <c r="P102" s="13"/>
      <c r="Q102" s="13"/>
      <c r="R102" s="19"/>
      <c r="S102" s="19"/>
      <c r="T102" s="13"/>
      <c r="U102" s="13"/>
      <c r="V102" s="13"/>
      <c r="W102" s="13"/>
      <c r="X102" s="13"/>
      <c r="Y102" s="246"/>
      <c r="Z102" s="255">
        <f t="shared" si="40"/>
        <v>0</v>
      </c>
      <c r="AA102" s="482"/>
      <c r="AB102" s="483" t="s">
        <v>220</v>
      </c>
      <c r="AC102" s="429"/>
      <c r="AD102" s="407"/>
      <c r="AE102" s="408"/>
      <c r="AF102" s="348"/>
      <c r="AG102" s="1099" t="s">
        <v>299</v>
      </c>
      <c r="AH102" s="1100"/>
      <c r="AI102" s="1100"/>
      <c r="AJ102" s="1100"/>
      <c r="AK102" s="1100"/>
      <c r="AL102" s="1100"/>
      <c r="AM102" s="1100"/>
      <c r="AN102" s="1100"/>
      <c r="AO102" s="1100"/>
      <c r="AP102" s="1100"/>
      <c r="AQ102" s="1100"/>
      <c r="AR102" s="1100"/>
      <c r="AS102" s="1100"/>
      <c r="AT102" s="1100"/>
      <c r="AU102" s="1100"/>
      <c r="AV102" s="1100"/>
      <c r="AW102" s="1100"/>
      <c r="AX102" s="1100"/>
      <c r="AY102" s="1100"/>
      <c r="AZ102" s="1101"/>
      <c r="BA102" s="356"/>
      <c r="BF102">
        <v>4</v>
      </c>
      <c r="BG102" s="358">
        <f t="shared" si="41"/>
        <v>0.25</v>
      </c>
      <c r="BH102">
        <f t="shared" si="42"/>
        <v>1</v>
      </c>
      <c r="BI102" s="358">
        <f t="shared" si="43"/>
        <v>0</v>
      </c>
    </row>
    <row r="103" spans="1:61" ht="37.5" customHeight="1" thickBot="1">
      <c r="A103" s="1013"/>
      <c r="B103" s="1031"/>
      <c r="C103" s="323">
        <f t="shared" si="44"/>
        <v>96</v>
      </c>
      <c r="D103" s="309" t="s">
        <v>120</v>
      </c>
      <c r="E103" s="1163"/>
      <c r="F103" s="1036"/>
      <c r="G103" s="62">
        <f t="shared" si="48"/>
        <v>0</v>
      </c>
      <c r="H103" s="139">
        <f t="shared" si="49"/>
      </c>
      <c r="I103" s="687">
        <v>0.25</v>
      </c>
      <c r="J103" s="154">
        <f t="shared" si="45"/>
      </c>
      <c r="K103" s="63">
        <f t="shared" si="50"/>
        <v>0</v>
      </c>
      <c r="L103" s="63">
        <f t="shared" si="51"/>
      </c>
      <c r="M103" s="63">
        <f t="shared" si="52"/>
      </c>
      <c r="N103" s="63">
        <f t="shared" si="53"/>
      </c>
      <c r="O103" s="63">
        <f t="shared" si="54"/>
      </c>
      <c r="P103" s="13"/>
      <c r="Q103" s="13"/>
      <c r="R103" s="19"/>
      <c r="S103" s="19"/>
      <c r="T103" s="13"/>
      <c r="U103" s="13"/>
      <c r="V103" s="13"/>
      <c r="W103" s="13"/>
      <c r="X103" s="13"/>
      <c r="Y103" s="246"/>
      <c r="Z103" s="255">
        <f t="shared" si="40"/>
        <v>0</v>
      </c>
      <c r="AA103" s="482"/>
      <c r="AB103" s="483" t="s">
        <v>220</v>
      </c>
      <c r="AC103" s="429"/>
      <c r="AD103" s="407"/>
      <c r="AE103" s="408"/>
      <c r="AF103" s="348"/>
      <c r="AG103" s="1099" t="s">
        <v>300</v>
      </c>
      <c r="AH103" s="1100"/>
      <c r="AI103" s="1100"/>
      <c r="AJ103" s="1100"/>
      <c r="AK103" s="1100"/>
      <c r="AL103" s="1100"/>
      <c r="AM103" s="1100"/>
      <c r="AN103" s="1100"/>
      <c r="AO103" s="1100"/>
      <c r="AP103" s="1100"/>
      <c r="AQ103" s="1100"/>
      <c r="AR103" s="1100"/>
      <c r="AS103" s="1100"/>
      <c r="AT103" s="1100"/>
      <c r="AU103" s="1100"/>
      <c r="AV103" s="1100"/>
      <c r="AW103" s="1100"/>
      <c r="AX103" s="1100"/>
      <c r="AY103" s="1100"/>
      <c r="AZ103" s="1101"/>
      <c r="BA103" s="356"/>
      <c r="BF103">
        <v>4</v>
      </c>
      <c r="BG103" s="358">
        <f t="shared" si="41"/>
        <v>0.25</v>
      </c>
      <c r="BH103">
        <f t="shared" si="42"/>
        <v>1</v>
      </c>
      <c r="BI103" s="358">
        <f t="shared" si="43"/>
        <v>0</v>
      </c>
    </row>
    <row r="104" spans="1:61" ht="37.5" customHeight="1" thickBot="1">
      <c r="A104" s="1013"/>
      <c r="B104" s="1031"/>
      <c r="C104" s="323">
        <f t="shared" si="44"/>
        <v>97</v>
      </c>
      <c r="D104" s="309" t="s">
        <v>121</v>
      </c>
      <c r="E104" s="1163"/>
      <c r="F104" s="1036"/>
      <c r="G104" s="62">
        <f t="shared" si="48"/>
        <v>0</v>
      </c>
      <c r="H104" s="139">
        <f t="shared" si="49"/>
      </c>
      <c r="I104" s="687">
        <v>0.25</v>
      </c>
      <c r="J104" s="154">
        <f t="shared" si="45"/>
      </c>
      <c r="K104" s="63">
        <f t="shared" si="50"/>
        <v>0</v>
      </c>
      <c r="L104" s="63">
        <f t="shared" si="51"/>
      </c>
      <c r="M104" s="63">
        <f t="shared" si="52"/>
      </c>
      <c r="N104" s="63">
        <f t="shared" si="53"/>
      </c>
      <c r="O104" s="63">
        <f t="shared" si="54"/>
      </c>
      <c r="P104" s="13"/>
      <c r="Q104" s="13"/>
      <c r="R104" s="19"/>
      <c r="S104" s="19"/>
      <c r="T104" s="13"/>
      <c r="U104" s="13"/>
      <c r="V104" s="13"/>
      <c r="W104" s="13"/>
      <c r="X104" s="13"/>
      <c r="Y104" s="246"/>
      <c r="Z104" s="255">
        <f t="shared" si="40"/>
        <v>0</v>
      </c>
      <c r="AA104" s="482"/>
      <c r="AB104" s="483" t="s">
        <v>220</v>
      </c>
      <c r="AC104" s="429"/>
      <c r="AD104" s="407"/>
      <c r="AE104" s="408"/>
      <c r="AF104" s="348"/>
      <c r="AG104" s="1099" t="s">
        <v>301</v>
      </c>
      <c r="AH104" s="1100"/>
      <c r="AI104" s="1100"/>
      <c r="AJ104" s="1100"/>
      <c r="AK104" s="1100"/>
      <c r="AL104" s="1100"/>
      <c r="AM104" s="1100"/>
      <c r="AN104" s="1100"/>
      <c r="AO104" s="1100"/>
      <c r="AP104" s="1100"/>
      <c r="AQ104" s="1100"/>
      <c r="AR104" s="1100"/>
      <c r="AS104" s="1100"/>
      <c r="AT104" s="1100"/>
      <c r="AU104" s="1100"/>
      <c r="AV104" s="1100"/>
      <c r="AW104" s="1100"/>
      <c r="AX104" s="1100"/>
      <c r="AY104" s="1100"/>
      <c r="AZ104" s="1101"/>
      <c r="BA104" s="356"/>
      <c r="BF104">
        <v>4</v>
      </c>
      <c r="BG104" s="358">
        <f t="shared" si="41"/>
        <v>0.25</v>
      </c>
      <c r="BH104">
        <f t="shared" si="42"/>
        <v>1</v>
      </c>
      <c r="BI104" s="358">
        <f t="shared" si="43"/>
        <v>0</v>
      </c>
    </row>
    <row r="105" spans="1:61" ht="37.5" customHeight="1" thickBot="1">
      <c r="A105" s="1013"/>
      <c r="B105" s="1031"/>
      <c r="C105" s="323">
        <f t="shared" si="44"/>
        <v>98</v>
      </c>
      <c r="D105" s="309" t="s">
        <v>122</v>
      </c>
      <c r="E105" s="1163"/>
      <c r="F105" s="1036"/>
      <c r="G105" s="62">
        <f t="shared" si="48"/>
        <v>0</v>
      </c>
      <c r="H105" s="139">
        <f t="shared" si="49"/>
      </c>
      <c r="I105" s="687">
        <v>0.25</v>
      </c>
      <c r="J105" s="154">
        <f t="shared" si="45"/>
      </c>
      <c r="K105" s="63">
        <f t="shared" si="50"/>
        <v>0</v>
      </c>
      <c r="L105" s="63">
        <f t="shared" si="51"/>
      </c>
      <c r="M105" s="63">
        <f t="shared" si="52"/>
      </c>
      <c r="N105" s="63">
        <f t="shared" si="53"/>
      </c>
      <c r="O105" s="63">
        <f t="shared" si="54"/>
      </c>
      <c r="P105" s="13"/>
      <c r="Q105" s="13"/>
      <c r="R105" s="19"/>
      <c r="S105" s="19"/>
      <c r="T105" s="13"/>
      <c r="U105" s="13"/>
      <c r="V105" s="13"/>
      <c r="W105" s="13"/>
      <c r="X105" s="13"/>
      <c r="Y105" s="246"/>
      <c r="Z105" s="255">
        <f t="shared" si="40"/>
        <v>0</v>
      </c>
      <c r="AA105" s="482"/>
      <c r="AB105" s="483" t="s">
        <v>220</v>
      </c>
      <c r="AC105" s="429"/>
      <c r="AD105" s="407"/>
      <c r="AE105" s="408"/>
      <c r="AF105" s="348"/>
      <c r="AG105" s="1164" t="s">
        <v>302</v>
      </c>
      <c r="AH105" s="1165"/>
      <c r="AI105" s="1165"/>
      <c r="AJ105" s="1165"/>
      <c r="AK105" s="1165"/>
      <c r="AL105" s="1165"/>
      <c r="AM105" s="1165"/>
      <c r="AN105" s="1165"/>
      <c r="AO105" s="1165"/>
      <c r="AP105" s="1165"/>
      <c r="AQ105" s="1165"/>
      <c r="AR105" s="1165"/>
      <c r="AS105" s="1165"/>
      <c r="AT105" s="1165"/>
      <c r="AU105" s="1165"/>
      <c r="AV105" s="1165"/>
      <c r="AW105" s="1165"/>
      <c r="AX105" s="1165"/>
      <c r="AY105" s="1165"/>
      <c r="AZ105" s="1166"/>
      <c r="BA105" s="356"/>
      <c r="BF105">
        <v>4</v>
      </c>
      <c r="BG105" s="358">
        <f t="shared" si="41"/>
        <v>0.25</v>
      </c>
      <c r="BH105">
        <f t="shared" si="42"/>
        <v>1</v>
      </c>
      <c r="BI105" s="358">
        <f t="shared" si="43"/>
        <v>0</v>
      </c>
    </row>
    <row r="106" spans="1:61" ht="37.5" customHeight="1" thickBot="1">
      <c r="A106" s="1013" t="s">
        <v>18</v>
      </c>
      <c r="B106" s="1031" t="s">
        <v>20</v>
      </c>
      <c r="C106" s="323">
        <f t="shared" si="44"/>
        <v>99</v>
      </c>
      <c r="D106" s="309" t="s">
        <v>123</v>
      </c>
      <c r="E106" s="1163"/>
      <c r="F106" s="1036"/>
      <c r="G106" s="62">
        <f t="shared" si="48"/>
        <v>0</v>
      </c>
      <c r="H106" s="139">
        <f t="shared" si="49"/>
      </c>
      <c r="I106" s="687">
        <v>0.25</v>
      </c>
      <c r="J106" s="154">
        <f t="shared" si="45"/>
      </c>
      <c r="K106" s="63">
        <f t="shared" si="50"/>
        <v>0</v>
      </c>
      <c r="L106" s="63">
        <f t="shared" si="51"/>
      </c>
      <c r="M106" s="63">
        <f t="shared" si="52"/>
      </c>
      <c r="N106" s="63">
        <f t="shared" si="53"/>
      </c>
      <c r="O106" s="63">
        <f t="shared" si="54"/>
      </c>
      <c r="P106" s="13"/>
      <c r="Q106" s="13"/>
      <c r="R106" s="19"/>
      <c r="S106" s="19"/>
      <c r="T106" s="13"/>
      <c r="U106" s="13"/>
      <c r="V106" s="13"/>
      <c r="W106" s="13"/>
      <c r="X106" s="13"/>
      <c r="Y106" s="246"/>
      <c r="Z106" s="255">
        <f t="shared" si="40"/>
        <v>0</v>
      </c>
      <c r="AA106" s="482"/>
      <c r="AB106" s="483" t="s">
        <v>220</v>
      </c>
      <c r="AC106" s="429"/>
      <c r="AD106" s="407"/>
      <c r="AE106" s="408"/>
      <c r="AF106" s="348"/>
      <c r="AG106" s="1099" t="s">
        <v>303</v>
      </c>
      <c r="AH106" s="1100"/>
      <c r="AI106" s="1100"/>
      <c r="AJ106" s="1100"/>
      <c r="AK106" s="1100"/>
      <c r="AL106" s="1100"/>
      <c r="AM106" s="1100"/>
      <c r="AN106" s="1100"/>
      <c r="AO106" s="1100"/>
      <c r="AP106" s="1100"/>
      <c r="AQ106" s="1100"/>
      <c r="AR106" s="1100"/>
      <c r="AS106" s="1100"/>
      <c r="AT106" s="1100"/>
      <c r="AU106" s="1100"/>
      <c r="AV106" s="1100"/>
      <c r="AW106" s="1100"/>
      <c r="AX106" s="1100"/>
      <c r="AY106" s="1100"/>
      <c r="AZ106" s="1101"/>
      <c r="BA106" s="356"/>
      <c r="BF106">
        <v>4</v>
      </c>
      <c r="BG106" s="358">
        <f t="shared" si="41"/>
        <v>0.25</v>
      </c>
      <c r="BH106">
        <f t="shared" si="42"/>
        <v>1</v>
      </c>
      <c r="BI106" s="358">
        <f t="shared" si="43"/>
        <v>0</v>
      </c>
    </row>
    <row r="107" spans="1:63" ht="37.5" customHeight="1" thickBot="1">
      <c r="A107" s="1013"/>
      <c r="B107" s="1031"/>
      <c r="C107" s="323">
        <f t="shared" si="44"/>
        <v>100</v>
      </c>
      <c r="D107" s="309" t="s">
        <v>124</v>
      </c>
      <c r="E107" s="1163"/>
      <c r="F107" s="1036"/>
      <c r="G107" s="62">
        <f t="shared" si="48"/>
        <v>0</v>
      </c>
      <c r="H107" s="139">
        <f t="shared" si="49"/>
      </c>
      <c r="I107" s="687">
        <v>0.25</v>
      </c>
      <c r="J107" s="154">
        <f t="shared" si="45"/>
      </c>
      <c r="K107" s="63">
        <f t="shared" si="50"/>
        <v>0</v>
      </c>
      <c r="L107" s="63">
        <f t="shared" si="51"/>
      </c>
      <c r="M107" s="63">
        <f t="shared" si="52"/>
      </c>
      <c r="N107" s="63">
        <f t="shared" si="53"/>
      </c>
      <c r="O107" s="63">
        <f t="shared" si="54"/>
      </c>
      <c r="P107" s="13"/>
      <c r="Q107" s="13"/>
      <c r="R107" s="19"/>
      <c r="S107" s="19"/>
      <c r="T107" s="13"/>
      <c r="U107" s="13"/>
      <c r="V107" s="13"/>
      <c r="W107" s="13"/>
      <c r="X107" s="13"/>
      <c r="Y107" s="246"/>
      <c r="Z107" s="255">
        <f t="shared" si="40"/>
        <v>0</v>
      </c>
      <c r="AA107" s="484"/>
      <c r="AB107" s="485" t="s">
        <v>220</v>
      </c>
      <c r="AC107" s="486"/>
      <c r="AD107" s="407"/>
      <c r="AE107" s="408"/>
      <c r="AF107" s="348"/>
      <c r="AG107" s="1099" t="s">
        <v>273</v>
      </c>
      <c r="AH107" s="1100"/>
      <c r="AI107" s="1100"/>
      <c r="AJ107" s="1100"/>
      <c r="AK107" s="1100"/>
      <c r="AL107" s="1100"/>
      <c r="AM107" s="1100"/>
      <c r="AN107" s="1100"/>
      <c r="AO107" s="1100"/>
      <c r="AP107" s="1100"/>
      <c r="AQ107" s="1100"/>
      <c r="AR107" s="1100"/>
      <c r="AS107" s="1100"/>
      <c r="AT107" s="1100"/>
      <c r="AU107" s="1100"/>
      <c r="AV107" s="1100"/>
      <c r="AW107" s="1100"/>
      <c r="AX107" s="1100"/>
      <c r="AY107" s="1100"/>
      <c r="AZ107" s="1101"/>
      <c r="BA107" s="356"/>
      <c r="BF107">
        <v>4</v>
      </c>
      <c r="BG107" s="358">
        <f t="shared" si="41"/>
        <v>0.25</v>
      </c>
      <c r="BH107">
        <f t="shared" si="42"/>
        <v>1</v>
      </c>
      <c r="BI107" s="358">
        <f t="shared" si="43"/>
        <v>0</v>
      </c>
      <c r="BJ107" s="358">
        <f>SUM(BH85:BH107)</f>
        <v>26</v>
      </c>
      <c r="BK107" s="358">
        <f>SUM(BI85:BI107)</f>
        <v>0</v>
      </c>
    </row>
    <row r="108" spans="1:61" ht="37.5" customHeight="1" thickBot="1">
      <c r="A108" s="1021" t="s">
        <v>21</v>
      </c>
      <c r="B108" s="1032" t="s">
        <v>22</v>
      </c>
      <c r="C108" s="378">
        <f t="shared" si="44"/>
        <v>101</v>
      </c>
      <c r="D108" s="379" t="s">
        <v>125</v>
      </c>
      <c r="E108" s="651"/>
      <c r="F108" s="652"/>
      <c r="G108" s="380">
        <f>IF(E108="","",ROUND(E108/F108,4))</f>
      </c>
      <c r="H108" s="381">
        <f>IF(OR(E108="",F108="",F108=0),"",SUM(K108:O108))</f>
      </c>
      <c r="I108" s="688">
        <v>2</v>
      </c>
      <c r="J108" s="383">
        <f t="shared" si="45"/>
      </c>
      <c r="K108" s="96">
        <f>IF($G108&lt;$R108%,$K$5,"")</f>
      </c>
      <c r="L108" s="96">
        <f>IF(AND($G108&lt;$T108%,$G108&gt;$Q108%),$L$5,"")</f>
      </c>
      <c r="M108" s="96">
        <f>IF(AND($G108&lt;$V108%,$G108&gt;$S108%),$M$5,"")</f>
      </c>
      <c r="N108" s="96">
        <f>IF(AND($G108&lt;$X108%,$G108&gt;$U108%),$N$5,"")</f>
      </c>
      <c r="O108" s="96">
        <f>IF(AND($G108&lt;Y108%,G108&gt;W108%),$O$5,"")</f>
      </c>
      <c r="P108" s="97">
        <v>0</v>
      </c>
      <c r="Q108" s="98">
        <v>20</v>
      </c>
      <c r="R108" s="99">
        <v>20.0001</v>
      </c>
      <c r="S108" s="100">
        <v>40</v>
      </c>
      <c r="T108" s="100">
        <v>40.0001</v>
      </c>
      <c r="U108" s="100">
        <v>60</v>
      </c>
      <c r="V108" s="100">
        <v>60.0001</v>
      </c>
      <c r="W108" s="100">
        <v>80</v>
      </c>
      <c r="X108" s="100">
        <v>80.0001</v>
      </c>
      <c r="Y108" s="247">
        <v>10000</v>
      </c>
      <c r="Z108" s="255">
        <f t="shared" si="40"/>
        <v>0</v>
      </c>
      <c r="AA108" s="487"/>
      <c r="AB108" s="488" t="s">
        <v>220</v>
      </c>
      <c r="AC108" s="430"/>
      <c r="AD108" s="419"/>
      <c r="AE108" s="408"/>
      <c r="AF108" s="348"/>
      <c r="AG108" s="1099" t="s">
        <v>304</v>
      </c>
      <c r="AH108" s="1100"/>
      <c r="AI108" s="1100"/>
      <c r="AJ108" s="1100"/>
      <c r="AK108" s="1100"/>
      <c r="AL108" s="1100"/>
      <c r="AM108" s="1100"/>
      <c r="AN108" s="1100"/>
      <c r="AO108" s="1100"/>
      <c r="AP108" s="1100"/>
      <c r="AQ108" s="1100"/>
      <c r="AR108" s="1100"/>
      <c r="AS108" s="1100"/>
      <c r="AT108" s="1100"/>
      <c r="AU108" s="1100"/>
      <c r="AV108" s="1100"/>
      <c r="AW108" s="1100"/>
      <c r="AX108" s="1100"/>
      <c r="AY108" s="1100"/>
      <c r="AZ108" s="1101"/>
      <c r="BA108" s="357">
        <f>IF(E108&gt;F108,"ERROR INPUT","")</f>
      </c>
      <c r="BF108">
        <v>4</v>
      </c>
      <c r="BG108" s="358">
        <f t="shared" si="41"/>
        <v>2</v>
      </c>
      <c r="BH108">
        <f t="shared" si="42"/>
        <v>8</v>
      </c>
      <c r="BI108" s="358">
        <f t="shared" si="43"/>
        <v>0</v>
      </c>
    </row>
    <row r="109" spans="1:61" ht="37.5" customHeight="1" thickBot="1">
      <c r="A109" s="1021"/>
      <c r="B109" s="1032"/>
      <c r="C109" s="378">
        <f t="shared" si="44"/>
        <v>102</v>
      </c>
      <c r="D109" s="379" t="s">
        <v>126</v>
      </c>
      <c r="E109" s="651"/>
      <c r="F109" s="384">
        <f>+$E$7</f>
        <v>0</v>
      </c>
      <c r="G109" s="385">
        <f>IF(E109="","",ROUND(E109/F109,4))</f>
      </c>
      <c r="H109" s="381">
        <f aca="true" t="shared" si="55" ref="H109:H120">IF(E109="","",SUM(K109:O109))</f>
      </c>
      <c r="I109" s="688">
        <v>2</v>
      </c>
      <c r="J109" s="383">
        <f t="shared" si="45"/>
      </c>
      <c r="K109" s="101">
        <f>IF($G109&lt;$R109,$K$5,"")</f>
      </c>
      <c r="L109" s="101">
        <f>IF(AND($G109&lt;$T109,$G109&gt;$Q109),$L$5,"")</f>
      </c>
      <c r="M109" s="101">
        <f>IF(AND($G109&lt;$V109,$G109&gt;$S109),$M$5,"")</f>
      </c>
      <c r="N109" s="101">
        <f>IF(AND($G109&lt;$X109,$G109&gt;$U109),$N$5,"")</f>
      </c>
      <c r="O109" s="101">
        <f>IF(AND($G109&lt;Y109,G109&gt;W109),$O$5,"")</f>
      </c>
      <c r="P109" s="97">
        <v>0</v>
      </c>
      <c r="Q109" s="98">
        <v>0</v>
      </c>
      <c r="R109" s="99">
        <v>1E-05</v>
      </c>
      <c r="S109" s="100">
        <v>499.9999</v>
      </c>
      <c r="T109" s="100">
        <v>500</v>
      </c>
      <c r="U109" s="100">
        <v>999.9999</v>
      </c>
      <c r="V109" s="100">
        <v>1000</v>
      </c>
      <c r="W109" s="100">
        <v>1499.9999</v>
      </c>
      <c r="X109" s="100">
        <v>1500</v>
      </c>
      <c r="Y109" s="247">
        <v>100000000</v>
      </c>
      <c r="Z109" s="255">
        <f t="shared" si="40"/>
        <v>0</v>
      </c>
      <c r="AA109" s="487"/>
      <c r="AB109" s="488" t="s">
        <v>220</v>
      </c>
      <c r="AC109" s="430"/>
      <c r="AD109" s="407"/>
      <c r="AE109" s="408"/>
      <c r="AF109" s="348"/>
      <c r="AG109" s="1099" t="s">
        <v>304</v>
      </c>
      <c r="AH109" s="1100"/>
      <c r="AI109" s="1100"/>
      <c r="AJ109" s="1100"/>
      <c r="AK109" s="1100"/>
      <c r="AL109" s="1100"/>
      <c r="AM109" s="1100"/>
      <c r="AN109" s="1100"/>
      <c r="AO109" s="1100"/>
      <c r="AP109" s="1100"/>
      <c r="AQ109" s="1100"/>
      <c r="AR109" s="1100"/>
      <c r="AS109" s="1100"/>
      <c r="AT109" s="1100"/>
      <c r="AU109" s="1100"/>
      <c r="AV109" s="1100"/>
      <c r="AW109" s="1100"/>
      <c r="AX109" s="1100"/>
      <c r="AY109" s="1100"/>
      <c r="AZ109" s="1101"/>
      <c r="BA109" s="356"/>
      <c r="BF109">
        <v>4</v>
      </c>
      <c r="BG109" s="358">
        <f t="shared" si="41"/>
        <v>2</v>
      </c>
      <c r="BH109">
        <f t="shared" si="42"/>
        <v>8</v>
      </c>
      <c r="BI109" s="358">
        <f t="shared" si="43"/>
        <v>0</v>
      </c>
    </row>
    <row r="110" spans="1:61" ht="37.5" customHeight="1" thickBot="1">
      <c r="A110" s="1021"/>
      <c r="B110" s="1032"/>
      <c r="C110" s="378">
        <f t="shared" si="44"/>
        <v>103</v>
      </c>
      <c r="D110" s="379" t="s">
        <v>127</v>
      </c>
      <c r="E110" s="387"/>
      <c r="F110" s="384">
        <f>+$E$7</f>
        <v>0</v>
      </c>
      <c r="G110" s="385">
        <f>IF(E110="","",ROUND(E110/F110,4))</f>
      </c>
      <c r="H110" s="381">
        <f t="shared" si="55"/>
      </c>
      <c r="I110" s="688">
        <v>2</v>
      </c>
      <c r="J110" s="383">
        <f t="shared" si="45"/>
      </c>
      <c r="K110" s="101">
        <f>IF($G110&lt;$R110,$K$5,"")</f>
      </c>
      <c r="L110" s="101">
        <f>IF(AND($G110&lt;$T110,$G110&gt;$Q110),$L$5,"")</f>
      </c>
      <c r="M110" s="101">
        <f>IF(AND($G110&lt;$V110,$G110&gt;$S110),$M$5,"")</f>
      </c>
      <c r="N110" s="101">
        <f>IF(AND($G110&lt;$X110,$G110&gt;$U110),$N$5,"")</f>
      </c>
      <c r="O110" s="101">
        <f>IF(AND($G110&lt;Y110,G110&gt;W110),$O$5,"")</f>
      </c>
      <c r="P110" s="97">
        <v>0</v>
      </c>
      <c r="Q110" s="98">
        <v>199.9999</v>
      </c>
      <c r="R110" s="99">
        <v>200</v>
      </c>
      <c r="S110" s="100">
        <v>399.9999</v>
      </c>
      <c r="T110" s="100">
        <v>400</v>
      </c>
      <c r="U110" s="100">
        <v>599.9999</v>
      </c>
      <c r="V110" s="100">
        <v>600</v>
      </c>
      <c r="W110" s="100">
        <v>799.9999</v>
      </c>
      <c r="X110" s="100">
        <v>800</v>
      </c>
      <c r="Y110" s="247">
        <v>100000000</v>
      </c>
      <c r="Z110" s="255">
        <f t="shared" si="40"/>
        <v>0</v>
      </c>
      <c r="AA110" s="487"/>
      <c r="AB110" s="488" t="s">
        <v>220</v>
      </c>
      <c r="AC110" s="430"/>
      <c r="AD110" s="407"/>
      <c r="AE110" s="408"/>
      <c r="AF110" s="348"/>
      <c r="AG110" s="1099" t="s">
        <v>304</v>
      </c>
      <c r="AH110" s="1100"/>
      <c r="AI110" s="1100"/>
      <c r="AJ110" s="1100"/>
      <c r="AK110" s="1100"/>
      <c r="AL110" s="1100"/>
      <c r="AM110" s="1100"/>
      <c r="AN110" s="1100"/>
      <c r="AO110" s="1100"/>
      <c r="AP110" s="1100"/>
      <c r="AQ110" s="1100"/>
      <c r="AR110" s="1100"/>
      <c r="AS110" s="1100"/>
      <c r="AT110" s="1100"/>
      <c r="AU110" s="1100"/>
      <c r="AV110" s="1100"/>
      <c r="AW110" s="1100"/>
      <c r="AX110" s="1100"/>
      <c r="AY110" s="1100"/>
      <c r="AZ110" s="1101"/>
      <c r="BA110" s="356"/>
      <c r="BF110">
        <v>4</v>
      </c>
      <c r="BG110" s="358">
        <f t="shared" si="41"/>
        <v>2</v>
      </c>
      <c r="BH110">
        <f t="shared" si="42"/>
        <v>8</v>
      </c>
      <c r="BI110" s="358">
        <f t="shared" si="43"/>
        <v>0</v>
      </c>
    </row>
    <row r="111" spans="1:63" ht="37.5" customHeight="1" thickBot="1">
      <c r="A111" s="1021"/>
      <c r="B111" s="1032"/>
      <c r="C111" s="378">
        <f t="shared" si="44"/>
        <v>104</v>
      </c>
      <c r="D111" s="379" t="s">
        <v>128</v>
      </c>
      <c r="E111" s="1161"/>
      <c r="F111" s="1045"/>
      <c r="G111" s="386">
        <f aca="true" t="shared" si="56" ref="G111:G120">+E111</f>
        <v>0</v>
      </c>
      <c r="H111" s="381">
        <f t="shared" si="55"/>
      </c>
      <c r="I111" s="688">
        <v>2</v>
      </c>
      <c r="J111" s="383">
        <f t="shared" si="45"/>
      </c>
      <c r="K111" s="101">
        <f aca="true" t="shared" si="57" ref="K111:K119">IF($E111&lt;$R111,$K$5,"")</f>
        <v>0</v>
      </c>
      <c r="L111" s="101">
        <f aca="true" t="shared" si="58" ref="L111:L119">IF(AND($E111&lt;$T111,$E111&gt;$Q111),$L$5,"")</f>
      </c>
      <c r="M111" s="101">
        <f aca="true" t="shared" si="59" ref="M111:M119">IF(AND($E111&lt;$V111,$E111&gt;$S111),$M$5,"")</f>
      </c>
      <c r="N111" s="101">
        <f aca="true" t="shared" si="60" ref="N111:N119">IF(AND($E111&lt;$X111,$E111&gt;$U111),$N$5,"")</f>
      </c>
      <c r="O111" s="101">
        <f aca="true" t="shared" si="61" ref="O111:O119">IF(AND($E111&lt;Y111,E111&gt;W111),$O$5,"")</f>
      </c>
      <c r="P111" s="97">
        <v>0</v>
      </c>
      <c r="Q111" s="98">
        <v>0</v>
      </c>
      <c r="R111" s="99">
        <v>1</v>
      </c>
      <c r="S111" s="100">
        <v>1</v>
      </c>
      <c r="T111" s="100">
        <v>2</v>
      </c>
      <c r="U111" s="100">
        <v>2</v>
      </c>
      <c r="V111" s="100">
        <v>3</v>
      </c>
      <c r="W111" s="100">
        <v>3</v>
      </c>
      <c r="X111" s="100">
        <v>4</v>
      </c>
      <c r="Y111" s="247">
        <v>10000</v>
      </c>
      <c r="Z111" s="255">
        <f t="shared" si="40"/>
        <v>0</v>
      </c>
      <c r="AA111" s="489"/>
      <c r="AB111" s="490" t="s">
        <v>220</v>
      </c>
      <c r="AC111" s="491"/>
      <c r="AD111" s="407"/>
      <c r="AE111" s="408"/>
      <c r="AF111" s="348"/>
      <c r="AG111" s="1099" t="s">
        <v>305</v>
      </c>
      <c r="AH111" s="1100"/>
      <c r="AI111" s="1100"/>
      <c r="AJ111" s="1100"/>
      <c r="AK111" s="1100"/>
      <c r="AL111" s="1100"/>
      <c r="AM111" s="1100"/>
      <c r="AN111" s="1100"/>
      <c r="AO111" s="1100"/>
      <c r="AP111" s="1100"/>
      <c r="AQ111" s="1100"/>
      <c r="AR111" s="1100"/>
      <c r="AS111" s="1100"/>
      <c r="AT111" s="1100"/>
      <c r="AU111" s="1100"/>
      <c r="AV111" s="1100"/>
      <c r="AW111" s="1100"/>
      <c r="AX111" s="1100"/>
      <c r="AY111" s="1100"/>
      <c r="AZ111" s="1101"/>
      <c r="BA111" s="356"/>
      <c r="BF111">
        <v>4</v>
      </c>
      <c r="BG111" s="358">
        <f t="shared" si="41"/>
        <v>2</v>
      </c>
      <c r="BH111">
        <f t="shared" si="42"/>
        <v>8</v>
      </c>
      <c r="BI111" s="358">
        <f t="shared" si="43"/>
        <v>0</v>
      </c>
      <c r="BJ111" s="358">
        <f>SUM(BH108:BH111)</f>
        <v>32</v>
      </c>
      <c r="BK111" s="358">
        <f>SUM(BI108:BI111)</f>
        <v>0</v>
      </c>
    </row>
    <row r="112" spans="1:63" ht="48.75" customHeight="1" thickBot="1">
      <c r="A112" s="1021"/>
      <c r="B112" s="440" t="s">
        <v>23</v>
      </c>
      <c r="C112" s="368">
        <f t="shared" si="44"/>
        <v>105</v>
      </c>
      <c r="D112" s="369" t="s">
        <v>129</v>
      </c>
      <c r="E112" s="1162"/>
      <c r="F112" s="1046"/>
      <c r="G112" s="370">
        <f t="shared" si="56"/>
        <v>0</v>
      </c>
      <c r="H112" s="364">
        <f t="shared" si="55"/>
      </c>
      <c r="I112" s="689">
        <v>2</v>
      </c>
      <c r="J112" s="366">
        <f t="shared" si="45"/>
      </c>
      <c r="K112" s="102">
        <f t="shared" si="57"/>
        <v>0</v>
      </c>
      <c r="L112" s="102">
        <f t="shared" si="58"/>
      </c>
      <c r="M112" s="102">
        <f t="shared" si="59"/>
      </c>
      <c r="N112" s="102">
        <f t="shared" si="60"/>
      </c>
      <c r="O112" s="102">
        <f t="shared" si="61"/>
      </c>
      <c r="P112" s="103">
        <v>0</v>
      </c>
      <c r="Q112" s="104">
        <v>0</v>
      </c>
      <c r="R112" s="105">
        <v>1</v>
      </c>
      <c r="S112" s="80">
        <f>-0.1+100000</f>
        <v>99999.9</v>
      </c>
      <c r="T112" s="80">
        <v>100000</v>
      </c>
      <c r="U112" s="80">
        <f>-0.1+600000</f>
        <v>599999.9</v>
      </c>
      <c r="V112" s="80">
        <v>600000</v>
      </c>
      <c r="W112" s="80">
        <f>-0.1+2000000</f>
        <v>1999999.9</v>
      </c>
      <c r="X112" s="80">
        <v>2000000</v>
      </c>
      <c r="Y112" s="248">
        <v>1000000000</v>
      </c>
      <c r="Z112" s="255">
        <f t="shared" si="40"/>
        <v>0</v>
      </c>
      <c r="AA112" s="492"/>
      <c r="AB112" s="493" t="s">
        <v>220</v>
      </c>
      <c r="AC112" s="494"/>
      <c r="AD112" s="419"/>
      <c r="AE112" s="408"/>
      <c r="AF112" s="348"/>
      <c r="AG112" s="1099" t="s">
        <v>306</v>
      </c>
      <c r="AH112" s="1100"/>
      <c r="AI112" s="1100"/>
      <c r="AJ112" s="1100"/>
      <c r="AK112" s="1100"/>
      <c r="AL112" s="1100"/>
      <c r="AM112" s="1100"/>
      <c r="AN112" s="1100"/>
      <c r="AO112" s="1100"/>
      <c r="AP112" s="1100"/>
      <c r="AQ112" s="1100"/>
      <c r="AR112" s="1100"/>
      <c r="AS112" s="1100"/>
      <c r="AT112" s="1100"/>
      <c r="AU112" s="1100"/>
      <c r="AV112" s="1100"/>
      <c r="AW112" s="1100"/>
      <c r="AX112" s="1100"/>
      <c r="AY112" s="1100"/>
      <c r="AZ112" s="1101"/>
      <c r="BA112" s="356"/>
      <c r="BF112">
        <v>4</v>
      </c>
      <c r="BG112" s="358">
        <f t="shared" si="41"/>
        <v>2</v>
      </c>
      <c r="BH112">
        <f t="shared" si="42"/>
        <v>8</v>
      </c>
      <c r="BI112" s="358">
        <f t="shared" si="43"/>
        <v>0</v>
      </c>
      <c r="BJ112">
        <f>+BH112</f>
        <v>8</v>
      </c>
      <c r="BK112">
        <f>+BI112</f>
        <v>0</v>
      </c>
    </row>
    <row r="113" spans="1:61" ht="41.25" customHeight="1" thickBot="1">
      <c r="A113" s="1020" t="s">
        <v>24</v>
      </c>
      <c r="B113" s="1037" t="s">
        <v>25</v>
      </c>
      <c r="C113" s="324">
        <f t="shared" si="44"/>
        <v>106</v>
      </c>
      <c r="D113" s="310" t="s">
        <v>130</v>
      </c>
      <c r="E113" s="1160"/>
      <c r="F113" s="1035"/>
      <c r="G113" s="121">
        <f t="shared" si="56"/>
        <v>0</v>
      </c>
      <c r="H113" s="140">
        <f t="shared" si="55"/>
      </c>
      <c r="I113" s="690">
        <v>0.5</v>
      </c>
      <c r="J113" s="155">
        <f t="shared" si="45"/>
      </c>
      <c r="K113" s="106">
        <f t="shared" si="57"/>
        <v>0</v>
      </c>
      <c r="L113" s="106">
        <f t="shared" si="58"/>
      </c>
      <c r="M113" s="106">
        <f t="shared" si="59"/>
      </c>
      <c r="N113" s="106">
        <f t="shared" si="60"/>
      </c>
      <c r="O113" s="106">
        <f t="shared" si="61"/>
      </c>
      <c r="P113" s="107">
        <v>0</v>
      </c>
      <c r="Q113" s="108">
        <v>0</v>
      </c>
      <c r="R113" s="109">
        <v>1</v>
      </c>
      <c r="S113" s="78">
        <v>3</v>
      </c>
      <c r="T113" s="78">
        <v>4</v>
      </c>
      <c r="U113" s="78">
        <v>6</v>
      </c>
      <c r="V113" s="78">
        <v>7</v>
      </c>
      <c r="W113" s="78">
        <v>9</v>
      </c>
      <c r="X113" s="78">
        <v>10</v>
      </c>
      <c r="Y113" s="249">
        <v>10000</v>
      </c>
      <c r="Z113" s="255">
        <f t="shared" si="40"/>
        <v>0</v>
      </c>
      <c r="AA113" s="495"/>
      <c r="AB113" s="496" t="s">
        <v>220</v>
      </c>
      <c r="AC113" s="431"/>
      <c r="AD113" s="419"/>
      <c r="AE113" s="408"/>
      <c r="AF113" s="348"/>
      <c r="AG113" s="1099" t="s">
        <v>307</v>
      </c>
      <c r="AH113" s="1100"/>
      <c r="AI113" s="1100"/>
      <c r="AJ113" s="1100"/>
      <c r="AK113" s="1100"/>
      <c r="AL113" s="1100"/>
      <c r="AM113" s="1100"/>
      <c r="AN113" s="1100"/>
      <c r="AO113" s="1100"/>
      <c r="AP113" s="1100"/>
      <c r="AQ113" s="1100"/>
      <c r="AR113" s="1100"/>
      <c r="AS113" s="1100"/>
      <c r="AT113" s="1100"/>
      <c r="AU113" s="1100"/>
      <c r="AV113" s="1100"/>
      <c r="AW113" s="1100"/>
      <c r="AX113" s="1100"/>
      <c r="AY113" s="1100"/>
      <c r="AZ113" s="1101"/>
      <c r="BA113" s="356"/>
      <c r="BF113">
        <v>4</v>
      </c>
      <c r="BG113" s="358">
        <f t="shared" si="41"/>
        <v>0.5</v>
      </c>
      <c r="BH113">
        <f t="shared" si="42"/>
        <v>2</v>
      </c>
      <c r="BI113" s="358">
        <f t="shared" si="43"/>
        <v>0</v>
      </c>
    </row>
    <row r="114" spans="1:61" ht="57" customHeight="1" thickBot="1">
      <c r="A114" s="1020"/>
      <c r="B114" s="1037"/>
      <c r="C114" s="324">
        <f t="shared" si="44"/>
        <v>107</v>
      </c>
      <c r="D114" s="310" t="s">
        <v>131</v>
      </c>
      <c r="E114" s="1160"/>
      <c r="F114" s="1035"/>
      <c r="G114" s="121">
        <f t="shared" si="56"/>
        <v>0</v>
      </c>
      <c r="H114" s="140">
        <f t="shared" si="55"/>
      </c>
      <c r="I114" s="690">
        <v>0.5</v>
      </c>
      <c r="J114" s="155">
        <f t="shared" si="45"/>
      </c>
      <c r="K114" s="106">
        <f t="shared" si="57"/>
        <v>0</v>
      </c>
      <c r="L114" s="106">
        <f t="shared" si="58"/>
      </c>
      <c r="M114" s="106">
        <f t="shared" si="59"/>
      </c>
      <c r="N114" s="106">
        <f t="shared" si="60"/>
      </c>
      <c r="O114" s="106">
        <f t="shared" si="61"/>
      </c>
      <c r="P114" s="107">
        <v>0</v>
      </c>
      <c r="Q114" s="108">
        <v>0</v>
      </c>
      <c r="R114" s="109">
        <v>1</v>
      </c>
      <c r="S114" s="78">
        <v>3</v>
      </c>
      <c r="T114" s="78">
        <v>4</v>
      </c>
      <c r="U114" s="78">
        <v>6</v>
      </c>
      <c r="V114" s="78">
        <v>7</v>
      </c>
      <c r="W114" s="78">
        <v>9</v>
      </c>
      <c r="X114" s="78">
        <v>10</v>
      </c>
      <c r="Y114" s="249">
        <v>10000</v>
      </c>
      <c r="Z114" s="255">
        <f t="shared" si="40"/>
        <v>0</v>
      </c>
      <c r="AA114" s="495"/>
      <c r="AB114" s="496" t="s">
        <v>220</v>
      </c>
      <c r="AC114" s="431"/>
      <c r="AD114" s="407"/>
      <c r="AE114" s="408"/>
      <c r="AF114" s="348"/>
      <c r="AG114" s="1099" t="s">
        <v>307</v>
      </c>
      <c r="AH114" s="1100"/>
      <c r="AI114" s="1100"/>
      <c r="AJ114" s="1100"/>
      <c r="AK114" s="1100"/>
      <c r="AL114" s="1100"/>
      <c r="AM114" s="1100"/>
      <c r="AN114" s="1100"/>
      <c r="AO114" s="1100"/>
      <c r="AP114" s="1100"/>
      <c r="AQ114" s="1100"/>
      <c r="AR114" s="1100"/>
      <c r="AS114" s="1100"/>
      <c r="AT114" s="1100"/>
      <c r="AU114" s="1100"/>
      <c r="AV114" s="1100"/>
      <c r="AW114" s="1100"/>
      <c r="AX114" s="1100"/>
      <c r="AY114" s="1100"/>
      <c r="AZ114" s="1101"/>
      <c r="BA114" s="356"/>
      <c r="BF114">
        <v>4</v>
      </c>
      <c r="BG114" s="358">
        <f t="shared" si="41"/>
        <v>0.5</v>
      </c>
      <c r="BH114">
        <f t="shared" si="42"/>
        <v>2</v>
      </c>
      <c r="BI114" s="358">
        <f t="shared" si="43"/>
        <v>0</v>
      </c>
    </row>
    <row r="115" spans="1:63" ht="37.5" customHeight="1" thickBot="1">
      <c r="A115" s="1020"/>
      <c r="B115" s="1037"/>
      <c r="C115" s="324">
        <f t="shared" si="44"/>
        <v>108</v>
      </c>
      <c r="D115" s="310" t="s">
        <v>132</v>
      </c>
      <c r="E115" s="1160"/>
      <c r="F115" s="1035"/>
      <c r="G115" s="121">
        <f t="shared" si="56"/>
        <v>0</v>
      </c>
      <c r="H115" s="140">
        <f t="shared" si="55"/>
      </c>
      <c r="I115" s="690">
        <v>0.5</v>
      </c>
      <c r="J115" s="155">
        <f t="shared" si="45"/>
      </c>
      <c r="K115" s="106">
        <f t="shared" si="57"/>
        <v>0</v>
      </c>
      <c r="L115" s="106">
        <f t="shared" si="58"/>
      </c>
      <c r="M115" s="106">
        <f t="shared" si="59"/>
      </c>
      <c r="N115" s="106">
        <f t="shared" si="60"/>
      </c>
      <c r="O115" s="106">
        <f t="shared" si="61"/>
      </c>
      <c r="P115" s="107">
        <v>0</v>
      </c>
      <c r="Q115" s="108">
        <v>0</v>
      </c>
      <c r="R115" s="109">
        <v>1</v>
      </c>
      <c r="S115" s="78">
        <v>1</v>
      </c>
      <c r="T115" s="78">
        <v>2</v>
      </c>
      <c r="U115" s="78">
        <v>2</v>
      </c>
      <c r="V115" s="78">
        <v>3</v>
      </c>
      <c r="W115" s="78">
        <v>3</v>
      </c>
      <c r="X115" s="78">
        <v>4</v>
      </c>
      <c r="Y115" s="249">
        <v>10000</v>
      </c>
      <c r="Z115" s="255">
        <f t="shared" si="40"/>
        <v>0</v>
      </c>
      <c r="AA115" s="495"/>
      <c r="AB115" s="496" t="s">
        <v>220</v>
      </c>
      <c r="AC115" s="431"/>
      <c r="AD115" s="407"/>
      <c r="AE115" s="408"/>
      <c r="AF115" s="348"/>
      <c r="AG115" s="1099" t="s">
        <v>308</v>
      </c>
      <c r="AH115" s="1100"/>
      <c r="AI115" s="1100"/>
      <c r="AJ115" s="1100"/>
      <c r="AK115" s="1100"/>
      <c r="AL115" s="1100"/>
      <c r="AM115" s="1100"/>
      <c r="AN115" s="1100"/>
      <c r="AO115" s="1100"/>
      <c r="AP115" s="1100"/>
      <c r="AQ115" s="1100"/>
      <c r="AR115" s="1100"/>
      <c r="AS115" s="1100"/>
      <c r="AT115" s="1100"/>
      <c r="AU115" s="1100"/>
      <c r="AV115" s="1100"/>
      <c r="AW115" s="1100"/>
      <c r="AX115" s="1100"/>
      <c r="AY115" s="1100"/>
      <c r="AZ115" s="1101"/>
      <c r="BA115" s="356"/>
      <c r="BF115">
        <v>4</v>
      </c>
      <c r="BG115" s="358">
        <f t="shared" si="41"/>
        <v>0.5</v>
      </c>
      <c r="BH115">
        <f t="shared" si="42"/>
        <v>2</v>
      </c>
      <c r="BI115" s="358">
        <f t="shared" si="43"/>
        <v>0</v>
      </c>
      <c r="BJ115" s="358">
        <f>SUM(BH113:BH115)</f>
        <v>6</v>
      </c>
      <c r="BK115" s="358">
        <f>SUM(BI113:BI115)</f>
        <v>0</v>
      </c>
    </row>
    <row r="116" spans="1:61" ht="37.5" customHeight="1" thickBot="1">
      <c r="A116" s="1020" t="s">
        <v>24</v>
      </c>
      <c r="B116" s="1047" t="s">
        <v>26</v>
      </c>
      <c r="C116" s="325">
        <f t="shared" si="44"/>
        <v>109</v>
      </c>
      <c r="D116" s="311" t="s">
        <v>133</v>
      </c>
      <c r="E116" s="1157"/>
      <c r="F116" s="1042"/>
      <c r="G116" s="66">
        <f t="shared" si="56"/>
        <v>0</v>
      </c>
      <c r="H116" s="141">
        <f t="shared" si="55"/>
      </c>
      <c r="I116" s="691">
        <v>0.5</v>
      </c>
      <c r="J116" s="156">
        <f t="shared" si="45"/>
      </c>
      <c r="K116" s="110">
        <f t="shared" si="57"/>
        <v>0</v>
      </c>
      <c r="L116" s="110">
        <f t="shared" si="58"/>
      </c>
      <c r="M116" s="110">
        <f t="shared" si="59"/>
      </c>
      <c r="N116" s="110">
        <f t="shared" si="60"/>
      </c>
      <c r="O116" s="110">
        <f t="shared" si="61"/>
      </c>
      <c r="P116" s="111">
        <v>0</v>
      </c>
      <c r="Q116" s="112">
        <v>0</v>
      </c>
      <c r="R116" s="113">
        <v>1</v>
      </c>
      <c r="S116" s="114">
        <v>1</v>
      </c>
      <c r="T116" s="114">
        <v>2</v>
      </c>
      <c r="U116" s="114">
        <v>2</v>
      </c>
      <c r="V116" s="114">
        <v>3</v>
      </c>
      <c r="W116" s="114">
        <v>3</v>
      </c>
      <c r="X116" s="114">
        <v>4</v>
      </c>
      <c r="Y116" s="250">
        <v>10000</v>
      </c>
      <c r="Z116" s="255">
        <f t="shared" si="40"/>
        <v>0</v>
      </c>
      <c r="AA116" s="497"/>
      <c r="AB116" s="498" t="s">
        <v>220</v>
      </c>
      <c r="AC116" s="432"/>
      <c r="AD116" s="419"/>
      <c r="AE116" s="408"/>
      <c r="AF116" s="348"/>
      <c r="AG116" s="1099" t="s">
        <v>307</v>
      </c>
      <c r="AH116" s="1100"/>
      <c r="AI116" s="1100"/>
      <c r="AJ116" s="1100"/>
      <c r="AK116" s="1100"/>
      <c r="AL116" s="1100"/>
      <c r="AM116" s="1100"/>
      <c r="AN116" s="1100"/>
      <c r="AO116" s="1100"/>
      <c r="AP116" s="1100"/>
      <c r="AQ116" s="1100"/>
      <c r="AR116" s="1100"/>
      <c r="AS116" s="1100"/>
      <c r="AT116" s="1100"/>
      <c r="AU116" s="1100"/>
      <c r="AV116" s="1100"/>
      <c r="AW116" s="1100"/>
      <c r="AX116" s="1100"/>
      <c r="AY116" s="1100"/>
      <c r="AZ116" s="1101"/>
      <c r="BA116" s="356"/>
      <c r="BF116">
        <v>4</v>
      </c>
      <c r="BG116" s="358">
        <f t="shared" si="41"/>
        <v>0.5</v>
      </c>
      <c r="BH116">
        <f t="shared" si="42"/>
        <v>2</v>
      </c>
      <c r="BI116" s="358">
        <f t="shared" si="43"/>
        <v>0</v>
      </c>
    </row>
    <row r="117" spans="1:61" ht="37.5" customHeight="1" thickBot="1">
      <c r="A117" s="1020"/>
      <c r="B117" s="1047"/>
      <c r="C117" s="325">
        <f t="shared" si="44"/>
        <v>110</v>
      </c>
      <c r="D117" s="311" t="s">
        <v>134</v>
      </c>
      <c r="E117" s="1157"/>
      <c r="F117" s="1042"/>
      <c r="G117" s="66">
        <f t="shared" si="56"/>
        <v>0</v>
      </c>
      <c r="H117" s="141">
        <f t="shared" si="55"/>
      </c>
      <c r="I117" s="691">
        <v>0.5</v>
      </c>
      <c r="J117" s="156">
        <f t="shared" si="45"/>
      </c>
      <c r="K117" s="110">
        <f t="shared" si="57"/>
        <v>0</v>
      </c>
      <c r="L117" s="110">
        <f t="shared" si="58"/>
      </c>
      <c r="M117" s="110">
        <f t="shared" si="59"/>
      </c>
      <c r="N117" s="110">
        <f t="shared" si="60"/>
      </c>
      <c r="O117" s="110">
        <f t="shared" si="61"/>
      </c>
      <c r="P117" s="111">
        <v>0</v>
      </c>
      <c r="Q117" s="112">
        <v>0</v>
      </c>
      <c r="R117" s="113">
        <v>1</v>
      </c>
      <c r="S117" s="114">
        <v>1</v>
      </c>
      <c r="T117" s="114">
        <v>2</v>
      </c>
      <c r="U117" s="114">
        <v>2</v>
      </c>
      <c r="V117" s="114">
        <v>3</v>
      </c>
      <c r="W117" s="114">
        <v>3</v>
      </c>
      <c r="X117" s="114">
        <v>4</v>
      </c>
      <c r="Y117" s="250">
        <v>10000</v>
      </c>
      <c r="Z117" s="255">
        <f t="shared" si="40"/>
        <v>0</v>
      </c>
      <c r="AA117" s="497"/>
      <c r="AB117" s="498" t="s">
        <v>220</v>
      </c>
      <c r="AC117" s="432"/>
      <c r="AD117" s="407"/>
      <c r="AE117" s="408"/>
      <c r="AF117" s="348"/>
      <c r="AG117" s="1099" t="s">
        <v>309</v>
      </c>
      <c r="AH117" s="1100"/>
      <c r="AI117" s="1100"/>
      <c r="AJ117" s="1100"/>
      <c r="AK117" s="1100"/>
      <c r="AL117" s="1100"/>
      <c r="AM117" s="1100"/>
      <c r="AN117" s="1100"/>
      <c r="AO117" s="1100"/>
      <c r="AP117" s="1100"/>
      <c r="AQ117" s="1100"/>
      <c r="AR117" s="1100"/>
      <c r="AS117" s="1100"/>
      <c r="AT117" s="1100"/>
      <c r="AU117" s="1100"/>
      <c r="AV117" s="1100"/>
      <c r="AW117" s="1100"/>
      <c r="AX117" s="1100"/>
      <c r="AY117" s="1100"/>
      <c r="AZ117" s="1101"/>
      <c r="BA117" s="356"/>
      <c r="BF117">
        <v>4</v>
      </c>
      <c r="BG117" s="358">
        <f t="shared" si="41"/>
        <v>0.5</v>
      </c>
      <c r="BH117">
        <f t="shared" si="42"/>
        <v>2</v>
      </c>
      <c r="BI117" s="358">
        <f t="shared" si="43"/>
        <v>0</v>
      </c>
    </row>
    <row r="118" spans="1:61" ht="37.5" customHeight="1" thickBot="1">
      <c r="A118" s="1020"/>
      <c r="B118" s="1047"/>
      <c r="C118" s="325">
        <f t="shared" si="44"/>
        <v>111</v>
      </c>
      <c r="D118" s="311" t="s">
        <v>135</v>
      </c>
      <c r="E118" s="1157"/>
      <c r="F118" s="1042"/>
      <c r="G118" s="66">
        <f t="shared" si="56"/>
        <v>0</v>
      </c>
      <c r="H118" s="141">
        <f t="shared" si="55"/>
      </c>
      <c r="I118" s="691">
        <v>0.5</v>
      </c>
      <c r="J118" s="156">
        <f t="shared" si="45"/>
      </c>
      <c r="K118" s="110">
        <f t="shared" si="57"/>
        <v>0</v>
      </c>
      <c r="L118" s="110">
        <f t="shared" si="58"/>
      </c>
      <c r="M118" s="110">
        <f t="shared" si="59"/>
      </c>
      <c r="N118" s="110">
        <f t="shared" si="60"/>
      </c>
      <c r="O118" s="110">
        <f t="shared" si="61"/>
      </c>
      <c r="P118" s="111">
        <v>0</v>
      </c>
      <c r="Q118" s="112">
        <v>0</v>
      </c>
      <c r="R118" s="113">
        <v>1</v>
      </c>
      <c r="S118" s="114">
        <v>100</v>
      </c>
      <c r="T118" s="114">
        <v>101</v>
      </c>
      <c r="U118" s="114">
        <v>200</v>
      </c>
      <c r="V118" s="114">
        <v>201</v>
      </c>
      <c r="W118" s="114">
        <v>499</v>
      </c>
      <c r="X118" s="114">
        <v>500</v>
      </c>
      <c r="Y118" s="250">
        <v>10000</v>
      </c>
      <c r="Z118" s="255">
        <f t="shared" si="40"/>
        <v>0</v>
      </c>
      <c r="AA118" s="497"/>
      <c r="AB118" s="498" t="s">
        <v>220</v>
      </c>
      <c r="AC118" s="432"/>
      <c r="AD118" s="407"/>
      <c r="AE118" s="408"/>
      <c r="AF118" s="348"/>
      <c r="AG118" s="1099" t="s">
        <v>310</v>
      </c>
      <c r="AH118" s="1100"/>
      <c r="AI118" s="1100"/>
      <c r="AJ118" s="1100"/>
      <c r="AK118" s="1100"/>
      <c r="AL118" s="1100"/>
      <c r="AM118" s="1100"/>
      <c r="AN118" s="1100"/>
      <c r="AO118" s="1100"/>
      <c r="AP118" s="1100"/>
      <c r="AQ118" s="1100"/>
      <c r="AR118" s="1100"/>
      <c r="AS118" s="1100"/>
      <c r="AT118" s="1100"/>
      <c r="AU118" s="1100"/>
      <c r="AV118" s="1100"/>
      <c r="AW118" s="1100"/>
      <c r="AX118" s="1100"/>
      <c r="AY118" s="1100"/>
      <c r="AZ118" s="1101"/>
      <c r="BA118" s="356"/>
      <c r="BF118">
        <v>4</v>
      </c>
      <c r="BG118" s="358">
        <f t="shared" si="41"/>
        <v>0.5</v>
      </c>
      <c r="BH118">
        <f t="shared" si="42"/>
        <v>2</v>
      </c>
      <c r="BI118" s="358">
        <f t="shared" si="43"/>
        <v>0</v>
      </c>
    </row>
    <row r="119" spans="1:61" ht="59.25" customHeight="1" thickBot="1">
      <c r="A119" s="1020"/>
      <c r="B119" s="1047"/>
      <c r="C119" s="325">
        <f t="shared" si="44"/>
        <v>112</v>
      </c>
      <c r="D119" s="311" t="s">
        <v>136</v>
      </c>
      <c r="E119" s="1157"/>
      <c r="F119" s="1042"/>
      <c r="G119" s="66">
        <f t="shared" si="56"/>
        <v>0</v>
      </c>
      <c r="H119" s="141">
        <f t="shared" si="55"/>
      </c>
      <c r="I119" s="691">
        <v>0.5</v>
      </c>
      <c r="J119" s="156">
        <f t="shared" si="45"/>
      </c>
      <c r="K119" s="110">
        <f t="shared" si="57"/>
        <v>0</v>
      </c>
      <c r="L119" s="110">
        <f t="shared" si="58"/>
      </c>
      <c r="M119" s="110">
        <f t="shared" si="59"/>
      </c>
      <c r="N119" s="110">
        <f t="shared" si="60"/>
      </c>
      <c r="O119" s="110">
        <f t="shared" si="61"/>
      </c>
      <c r="P119" s="111">
        <v>0</v>
      </c>
      <c r="Q119" s="112">
        <v>0</v>
      </c>
      <c r="R119" s="113">
        <v>1</v>
      </c>
      <c r="S119" s="114">
        <v>2</v>
      </c>
      <c r="T119" s="114">
        <v>3</v>
      </c>
      <c r="U119" s="114">
        <v>4</v>
      </c>
      <c r="V119" s="114">
        <v>5</v>
      </c>
      <c r="W119" s="114">
        <v>6</v>
      </c>
      <c r="X119" s="114">
        <v>7</v>
      </c>
      <c r="Y119" s="250">
        <v>10000</v>
      </c>
      <c r="Z119" s="255">
        <f t="shared" si="40"/>
        <v>0</v>
      </c>
      <c r="AA119" s="497"/>
      <c r="AB119" s="498" t="s">
        <v>220</v>
      </c>
      <c r="AC119" s="432"/>
      <c r="AD119" s="407"/>
      <c r="AE119" s="408"/>
      <c r="AF119" s="348"/>
      <c r="AG119" s="1105" t="s">
        <v>311</v>
      </c>
      <c r="AH119" s="1106"/>
      <c r="AI119" s="1106"/>
      <c r="AJ119" s="1106"/>
      <c r="AK119" s="1106"/>
      <c r="AL119" s="1106"/>
      <c r="AM119" s="1106"/>
      <c r="AN119" s="1106"/>
      <c r="AO119" s="1106"/>
      <c r="AP119" s="1106"/>
      <c r="AQ119" s="1106"/>
      <c r="AR119" s="1106"/>
      <c r="AS119" s="1106"/>
      <c r="AT119" s="1106"/>
      <c r="AU119" s="1106"/>
      <c r="AV119" s="1106"/>
      <c r="AW119" s="1106"/>
      <c r="AX119" s="1106"/>
      <c r="AY119" s="1106"/>
      <c r="AZ119" s="1107"/>
      <c r="BA119" s="356"/>
      <c r="BF119">
        <v>4</v>
      </c>
      <c r="BG119" s="358">
        <f t="shared" si="41"/>
        <v>0.5</v>
      </c>
      <c r="BH119">
        <f t="shared" si="42"/>
        <v>2</v>
      </c>
      <c r="BI119" s="358">
        <f t="shared" si="43"/>
        <v>0</v>
      </c>
    </row>
    <row r="120" spans="1:61" ht="37.5" customHeight="1" thickBot="1">
      <c r="A120" s="1020"/>
      <c r="B120" s="1047"/>
      <c r="C120" s="325">
        <f t="shared" si="44"/>
        <v>113</v>
      </c>
      <c r="D120" s="311" t="s">
        <v>137</v>
      </c>
      <c r="E120" s="1157"/>
      <c r="F120" s="1042"/>
      <c r="G120" s="66">
        <f t="shared" si="56"/>
        <v>0</v>
      </c>
      <c r="H120" s="141">
        <f t="shared" si="55"/>
      </c>
      <c r="I120" s="691">
        <v>1</v>
      </c>
      <c r="J120" s="156">
        <f t="shared" si="45"/>
      </c>
      <c r="K120" s="67">
        <f>IF(OR(E120="",E120="NO"),$K$5,"")</f>
        <v>0</v>
      </c>
      <c r="L120" s="67">
        <f aca="true" t="shared" si="62" ref="L120:L127">IF(AND($G120&lt;$T120%,$G120&gt;$Q120%),$L$5,"")</f>
      </c>
      <c r="M120" s="67">
        <f aca="true" t="shared" si="63" ref="M120:M127">IF(AND($G120&lt;$V120%,$G120&gt;$S120%),$M$5,"")</f>
      </c>
      <c r="N120" s="67">
        <f aca="true" t="shared" si="64" ref="N120:N127">IF(AND($G120&lt;$X120%,$G120&gt;$U120%),$N$5,"")</f>
      </c>
      <c r="O120" s="67">
        <f>IF(E120="YES",$O$5,"")</f>
      </c>
      <c r="P120" s="14"/>
      <c r="Q120" s="14"/>
      <c r="R120" s="20"/>
      <c r="S120" s="20"/>
      <c r="T120" s="14"/>
      <c r="U120" s="14"/>
      <c r="V120" s="14"/>
      <c r="W120" s="14"/>
      <c r="X120" s="14"/>
      <c r="Y120" s="251"/>
      <c r="Z120" s="255">
        <f t="shared" si="40"/>
        <v>0</v>
      </c>
      <c r="AA120" s="497"/>
      <c r="AB120" s="498" t="s">
        <v>220</v>
      </c>
      <c r="AC120" s="432"/>
      <c r="AD120" s="407"/>
      <c r="AE120" s="408"/>
      <c r="AF120" s="348"/>
      <c r="AG120" s="1099" t="s">
        <v>307</v>
      </c>
      <c r="AH120" s="1100"/>
      <c r="AI120" s="1100"/>
      <c r="AJ120" s="1100"/>
      <c r="AK120" s="1100"/>
      <c r="AL120" s="1100"/>
      <c r="AM120" s="1100"/>
      <c r="AN120" s="1100"/>
      <c r="AO120" s="1100"/>
      <c r="AP120" s="1100"/>
      <c r="AQ120" s="1100"/>
      <c r="AR120" s="1100"/>
      <c r="AS120" s="1100"/>
      <c r="AT120" s="1100"/>
      <c r="AU120" s="1100"/>
      <c r="AV120" s="1100"/>
      <c r="AW120" s="1100"/>
      <c r="AX120" s="1100"/>
      <c r="AY120" s="1100"/>
      <c r="AZ120" s="1101"/>
      <c r="BA120" s="356"/>
      <c r="BF120">
        <v>4</v>
      </c>
      <c r="BG120" s="358">
        <f t="shared" si="41"/>
        <v>1</v>
      </c>
      <c r="BH120">
        <f t="shared" si="42"/>
        <v>4</v>
      </c>
      <c r="BI120" s="358">
        <f t="shared" si="43"/>
        <v>0</v>
      </c>
    </row>
    <row r="121" spans="1:61" ht="37.5" customHeight="1" thickBot="1">
      <c r="A121" s="1020"/>
      <c r="B121" s="1047"/>
      <c r="C121" s="325">
        <f t="shared" si="44"/>
        <v>114</v>
      </c>
      <c r="D121" s="311" t="s">
        <v>138</v>
      </c>
      <c r="E121" s="278"/>
      <c r="F121" s="217">
        <f>+$E$7</f>
        <v>0</v>
      </c>
      <c r="G121" s="174">
        <f>IF(E121="","",ROUND(E121/F121,4))</f>
      </c>
      <c r="H121" s="141">
        <f>IF(OR(E121="",F121="",F121=0),"",SUM(K121:O121))</f>
      </c>
      <c r="I121" s="691">
        <v>0.5</v>
      </c>
      <c r="J121" s="156">
        <f t="shared" si="45"/>
      </c>
      <c r="K121" s="28">
        <f>IF($G121&lt;$R121%,$K$5,"")</f>
      </c>
      <c r="L121" s="28">
        <f t="shared" si="62"/>
      </c>
      <c r="M121" s="28">
        <f t="shared" si="63"/>
      </c>
      <c r="N121" s="28">
        <f t="shared" si="64"/>
      </c>
      <c r="O121" s="28">
        <f>IF(AND($G121&lt;Y121%,G121&gt;W121%),$O$5,"")</f>
      </c>
      <c r="P121" s="111">
        <v>0</v>
      </c>
      <c r="Q121" s="112">
        <v>0</v>
      </c>
      <c r="R121" s="113">
        <v>1E-05</v>
      </c>
      <c r="S121" s="114">
        <v>9.9999</v>
      </c>
      <c r="T121" s="114">
        <v>10</v>
      </c>
      <c r="U121" s="114">
        <v>19.9999</v>
      </c>
      <c r="V121" s="114">
        <v>20</v>
      </c>
      <c r="W121" s="114">
        <v>29.9999</v>
      </c>
      <c r="X121" s="114">
        <v>30</v>
      </c>
      <c r="Y121" s="250">
        <v>10000</v>
      </c>
      <c r="Z121" s="255">
        <f t="shared" si="40"/>
        <v>0</v>
      </c>
      <c r="AA121" s="497"/>
      <c r="AB121" s="498" t="s">
        <v>220</v>
      </c>
      <c r="AC121" s="432"/>
      <c r="AD121" s="407"/>
      <c r="AE121" s="408"/>
      <c r="AF121" s="348"/>
      <c r="AG121" s="1099" t="s">
        <v>312</v>
      </c>
      <c r="AH121" s="1100"/>
      <c r="AI121" s="1100"/>
      <c r="AJ121" s="1100"/>
      <c r="AK121" s="1100"/>
      <c r="AL121" s="1100"/>
      <c r="AM121" s="1100"/>
      <c r="AN121" s="1100"/>
      <c r="AO121" s="1100"/>
      <c r="AP121" s="1100"/>
      <c r="AQ121" s="1100"/>
      <c r="AR121" s="1100"/>
      <c r="AS121" s="1100"/>
      <c r="AT121" s="1100"/>
      <c r="AU121" s="1100"/>
      <c r="AV121" s="1100"/>
      <c r="AW121" s="1100"/>
      <c r="AX121" s="1100"/>
      <c r="AY121" s="1100"/>
      <c r="AZ121" s="1101"/>
      <c r="BA121" s="357">
        <f>IF(E121&gt;F121,"ERROR INPUT","")</f>
      </c>
      <c r="BF121">
        <v>4</v>
      </c>
      <c r="BG121" s="358">
        <f t="shared" si="41"/>
        <v>0.5</v>
      </c>
      <c r="BH121">
        <f t="shared" si="42"/>
        <v>2</v>
      </c>
      <c r="BI121" s="358">
        <f t="shared" si="43"/>
        <v>0</v>
      </c>
    </row>
    <row r="122" spans="1:61" ht="37.5" customHeight="1" thickBot="1">
      <c r="A122" s="1020"/>
      <c r="B122" s="1047"/>
      <c r="C122" s="325">
        <f t="shared" si="44"/>
        <v>115</v>
      </c>
      <c r="D122" s="311" t="s">
        <v>139</v>
      </c>
      <c r="E122" s="1158"/>
      <c r="F122" s="1157"/>
      <c r="G122" s="66">
        <f>+E122</f>
        <v>0</v>
      </c>
      <c r="H122" s="141">
        <f>IF(E122="","",SUM(K122:O122))</f>
      </c>
      <c r="I122" s="691">
        <v>0.5</v>
      </c>
      <c r="J122" s="156">
        <f t="shared" si="45"/>
      </c>
      <c r="K122" s="67">
        <f>IF(OR(E122="",E122="NO"),$K$5,"")</f>
        <v>0</v>
      </c>
      <c r="L122" s="67">
        <f t="shared" si="62"/>
      </c>
      <c r="M122" s="67">
        <f t="shared" si="63"/>
      </c>
      <c r="N122" s="67">
        <f t="shared" si="64"/>
      </c>
      <c r="O122" s="67">
        <f>IF(E122="YES",$O$5,"")</f>
      </c>
      <c r="P122" s="14"/>
      <c r="Q122" s="14"/>
      <c r="R122" s="20"/>
      <c r="S122" s="20"/>
      <c r="T122" s="14"/>
      <c r="U122" s="14"/>
      <c r="V122" s="14"/>
      <c r="W122" s="14"/>
      <c r="X122" s="14"/>
      <c r="Y122" s="251"/>
      <c r="Z122" s="255">
        <f t="shared" si="40"/>
        <v>0</v>
      </c>
      <c r="AA122" s="497"/>
      <c r="AB122" s="498" t="s">
        <v>220</v>
      </c>
      <c r="AC122" s="432"/>
      <c r="AD122" s="407"/>
      <c r="AE122" s="408"/>
      <c r="AF122" s="348"/>
      <c r="AG122" s="1099" t="s">
        <v>313</v>
      </c>
      <c r="AH122" s="1100"/>
      <c r="AI122" s="1100"/>
      <c r="AJ122" s="1100"/>
      <c r="AK122" s="1100"/>
      <c r="AL122" s="1100"/>
      <c r="AM122" s="1100"/>
      <c r="AN122" s="1100"/>
      <c r="AO122" s="1100"/>
      <c r="AP122" s="1100"/>
      <c r="AQ122" s="1100"/>
      <c r="AR122" s="1100"/>
      <c r="AS122" s="1100"/>
      <c r="AT122" s="1100"/>
      <c r="AU122" s="1100"/>
      <c r="AV122" s="1100"/>
      <c r="AW122" s="1100"/>
      <c r="AX122" s="1100"/>
      <c r="AY122" s="1100"/>
      <c r="AZ122" s="1101"/>
      <c r="BA122" s="356"/>
      <c r="BF122">
        <v>4</v>
      </c>
      <c r="BG122" s="358">
        <f t="shared" si="41"/>
        <v>0.5</v>
      </c>
      <c r="BH122">
        <f t="shared" si="42"/>
        <v>2</v>
      </c>
      <c r="BI122" s="358">
        <f t="shared" si="43"/>
        <v>0</v>
      </c>
    </row>
    <row r="123" spans="1:63" ht="37.5" customHeight="1" thickBot="1">
      <c r="A123" s="1020"/>
      <c r="B123" s="1047"/>
      <c r="C123" s="325">
        <f t="shared" si="44"/>
        <v>116</v>
      </c>
      <c r="D123" s="311" t="s">
        <v>140</v>
      </c>
      <c r="E123" s="1158"/>
      <c r="F123" s="1157"/>
      <c r="G123" s="66">
        <f>+E123</f>
        <v>0</v>
      </c>
      <c r="H123" s="141">
        <f>IF(E123="","",SUM(K123:O123))</f>
      </c>
      <c r="I123" s="691">
        <v>0.5</v>
      </c>
      <c r="J123" s="156">
        <f t="shared" si="45"/>
      </c>
      <c r="K123" s="67">
        <f>IF(OR(E123="",E123="NO"),$K$5,"")</f>
        <v>0</v>
      </c>
      <c r="L123" s="67">
        <f t="shared" si="62"/>
      </c>
      <c r="M123" s="67">
        <f t="shared" si="63"/>
      </c>
      <c r="N123" s="67">
        <f t="shared" si="64"/>
      </c>
      <c r="O123" s="67">
        <f>IF(E123="YES",$O$5,"")</f>
      </c>
      <c r="P123" s="14"/>
      <c r="Q123" s="14"/>
      <c r="R123" s="20"/>
      <c r="S123" s="20"/>
      <c r="T123" s="14"/>
      <c r="U123" s="14"/>
      <c r="V123" s="14"/>
      <c r="W123" s="14"/>
      <c r="X123" s="14"/>
      <c r="Y123" s="251"/>
      <c r="Z123" s="255">
        <f t="shared" si="40"/>
        <v>0</v>
      </c>
      <c r="AA123" s="499"/>
      <c r="AB123" s="500" t="s">
        <v>220</v>
      </c>
      <c r="AC123" s="501"/>
      <c r="AD123" s="407"/>
      <c r="AE123" s="408"/>
      <c r="AF123" s="348"/>
      <c r="AG123" s="1099" t="s">
        <v>314</v>
      </c>
      <c r="AH123" s="1100"/>
      <c r="AI123" s="1100"/>
      <c r="AJ123" s="1100"/>
      <c r="AK123" s="1100"/>
      <c r="AL123" s="1100"/>
      <c r="AM123" s="1100"/>
      <c r="AN123" s="1100"/>
      <c r="AO123" s="1100"/>
      <c r="AP123" s="1100"/>
      <c r="AQ123" s="1100"/>
      <c r="AR123" s="1100"/>
      <c r="AS123" s="1100"/>
      <c r="AT123" s="1100"/>
      <c r="AU123" s="1100"/>
      <c r="AV123" s="1100"/>
      <c r="AW123" s="1100"/>
      <c r="AX123" s="1100"/>
      <c r="AY123" s="1100"/>
      <c r="AZ123" s="1101"/>
      <c r="BA123" s="356"/>
      <c r="BF123">
        <v>4</v>
      </c>
      <c r="BG123" s="358">
        <f t="shared" si="41"/>
        <v>0.5</v>
      </c>
      <c r="BH123">
        <f t="shared" si="42"/>
        <v>2</v>
      </c>
      <c r="BI123" s="358">
        <f t="shared" si="43"/>
        <v>0</v>
      </c>
      <c r="BJ123" s="358">
        <f>SUM(BH116:BH123)</f>
        <v>18</v>
      </c>
      <c r="BK123" s="358">
        <f>SUM(BI116:BI123)</f>
        <v>0</v>
      </c>
    </row>
    <row r="124" spans="1:61" ht="37.5" customHeight="1" thickBot="1">
      <c r="A124" s="1020"/>
      <c r="B124" s="1119" t="s">
        <v>27</v>
      </c>
      <c r="C124" s="326">
        <f t="shared" si="44"/>
        <v>117</v>
      </c>
      <c r="D124" s="312" t="s">
        <v>188</v>
      </c>
      <c r="E124" s="1159"/>
      <c r="F124" s="1044"/>
      <c r="G124" s="124">
        <f>+E124</f>
        <v>0</v>
      </c>
      <c r="H124" s="142">
        <f>IF(E124="","",SUM(K124:O124))</f>
      </c>
      <c r="I124" s="692">
        <v>1</v>
      </c>
      <c r="J124" s="157">
        <f t="shared" si="45"/>
      </c>
      <c r="K124" s="68">
        <f>IF(OR(E124="",E124="YES PENDENCY"),$K$5,"")</f>
        <v>0</v>
      </c>
      <c r="L124" s="68">
        <f t="shared" si="62"/>
      </c>
      <c r="M124" s="68">
        <f t="shared" si="63"/>
      </c>
      <c r="N124" s="68">
        <f t="shared" si="64"/>
      </c>
      <c r="O124" s="68">
        <f>IF(E124="NO PENDENCY",$O$5,"")</f>
      </c>
      <c r="P124" s="15"/>
      <c r="Q124" s="15"/>
      <c r="R124" s="21"/>
      <c r="S124" s="21"/>
      <c r="T124" s="15"/>
      <c r="U124" s="15"/>
      <c r="V124" s="15"/>
      <c r="W124" s="15"/>
      <c r="X124" s="15"/>
      <c r="Y124" s="252"/>
      <c r="Z124" s="255">
        <f t="shared" si="40"/>
        <v>0</v>
      </c>
      <c r="AA124" s="438"/>
      <c r="AB124" s="439" t="s">
        <v>220</v>
      </c>
      <c r="AC124" s="433"/>
      <c r="AD124" s="419"/>
      <c r="AE124" s="408"/>
      <c r="AF124" s="348"/>
      <c r="AG124" s="1099" t="s">
        <v>315</v>
      </c>
      <c r="AH124" s="1100"/>
      <c r="AI124" s="1100"/>
      <c r="AJ124" s="1100"/>
      <c r="AK124" s="1100"/>
      <c r="AL124" s="1100"/>
      <c r="AM124" s="1100"/>
      <c r="AN124" s="1100"/>
      <c r="AO124" s="1100"/>
      <c r="AP124" s="1100"/>
      <c r="AQ124" s="1100"/>
      <c r="AR124" s="1100"/>
      <c r="AS124" s="1100"/>
      <c r="AT124" s="1100"/>
      <c r="AU124" s="1100"/>
      <c r="AV124" s="1100"/>
      <c r="AW124" s="1100"/>
      <c r="AX124" s="1100"/>
      <c r="AY124" s="1100"/>
      <c r="AZ124" s="1101"/>
      <c r="BA124" s="356"/>
      <c r="BF124">
        <v>4</v>
      </c>
      <c r="BG124" s="358">
        <f t="shared" si="41"/>
        <v>1</v>
      </c>
      <c r="BH124">
        <f t="shared" si="42"/>
        <v>4</v>
      </c>
      <c r="BI124" s="358">
        <f t="shared" si="43"/>
        <v>0</v>
      </c>
    </row>
    <row r="125" spans="1:61" ht="37.5" customHeight="1" thickBot="1">
      <c r="A125" s="1020"/>
      <c r="B125" s="1119"/>
      <c r="C125" s="326">
        <f t="shared" si="44"/>
        <v>118</v>
      </c>
      <c r="D125" s="312" t="s">
        <v>141</v>
      </c>
      <c r="E125" s="653"/>
      <c r="F125" s="218">
        <f>+$E$7</f>
        <v>0</v>
      </c>
      <c r="G125" s="175">
        <f>IF(E125="","",ROUND(E125/F125,4))</f>
      </c>
      <c r="H125" s="142">
        <f>IF(OR(E125="",F125="",F125=0),"",SUM(K125:O125))</f>
      </c>
      <c r="I125" s="692">
        <v>0.5</v>
      </c>
      <c r="J125" s="157">
        <f t="shared" si="45"/>
      </c>
      <c r="K125" s="29">
        <f>IF($G125&lt;$R125%,$K$5,"")</f>
      </c>
      <c r="L125" s="29">
        <f t="shared" si="62"/>
      </c>
      <c r="M125" s="29">
        <f t="shared" si="63"/>
      </c>
      <c r="N125" s="29">
        <f t="shared" si="64"/>
      </c>
      <c r="O125" s="29">
        <f>IF(AND($G125&lt;Y125%,G125&gt;W125%),$O$5,"")</f>
      </c>
      <c r="P125" s="115">
        <v>0</v>
      </c>
      <c r="Q125" s="115">
        <v>0</v>
      </c>
      <c r="R125" s="116">
        <v>0.0001</v>
      </c>
      <c r="S125" s="116">
        <v>1.9999</v>
      </c>
      <c r="T125" s="116">
        <v>2</v>
      </c>
      <c r="U125" s="116">
        <v>3.9999</v>
      </c>
      <c r="V125" s="116">
        <v>4</v>
      </c>
      <c r="W125" s="116">
        <v>5.9999</v>
      </c>
      <c r="X125" s="116">
        <v>6</v>
      </c>
      <c r="Y125" s="253">
        <v>10000</v>
      </c>
      <c r="Z125" s="255">
        <f t="shared" si="40"/>
        <v>0</v>
      </c>
      <c r="AA125" s="438"/>
      <c r="AB125" s="439" t="s">
        <v>220</v>
      </c>
      <c r="AC125" s="433"/>
      <c r="AD125" s="407"/>
      <c r="AE125" s="408"/>
      <c r="AF125" s="348"/>
      <c r="AG125" s="1099" t="s">
        <v>316</v>
      </c>
      <c r="AH125" s="1100"/>
      <c r="AI125" s="1100"/>
      <c r="AJ125" s="1100"/>
      <c r="AK125" s="1100"/>
      <c r="AL125" s="1100"/>
      <c r="AM125" s="1100"/>
      <c r="AN125" s="1100"/>
      <c r="AO125" s="1100"/>
      <c r="AP125" s="1100"/>
      <c r="AQ125" s="1100"/>
      <c r="AR125" s="1100"/>
      <c r="AS125" s="1100"/>
      <c r="AT125" s="1100"/>
      <c r="AU125" s="1100"/>
      <c r="AV125" s="1100"/>
      <c r="AW125" s="1100"/>
      <c r="AX125" s="1100"/>
      <c r="AY125" s="1100"/>
      <c r="AZ125" s="1101"/>
      <c r="BA125" s="357">
        <f>IF(E125&gt;F125,"ERROR INPUT","")</f>
      </c>
      <c r="BF125">
        <v>4</v>
      </c>
      <c r="BG125" s="358">
        <f t="shared" si="41"/>
        <v>0.5</v>
      </c>
      <c r="BH125">
        <f t="shared" si="42"/>
        <v>2</v>
      </c>
      <c r="BI125" s="358">
        <f t="shared" si="43"/>
        <v>0</v>
      </c>
    </row>
    <row r="126" spans="1:61" ht="37.5" customHeight="1" thickBot="1">
      <c r="A126" s="1020"/>
      <c r="B126" s="1119"/>
      <c r="C126" s="326">
        <f t="shared" si="44"/>
        <v>119</v>
      </c>
      <c r="D126" s="312" t="s">
        <v>142</v>
      </c>
      <c r="E126" s="653"/>
      <c r="F126" s="218">
        <f>+$E$7</f>
        <v>0</v>
      </c>
      <c r="G126" s="175">
        <f>IF(E126="","",ROUND(E126/F126,4))</f>
      </c>
      <c r="H126" s="142">
        <f>IF(OR(E126="",F126="",F126=0),"",SUM(K126:O126))</f>
      </c>
      <c r="I126" s="692">
        <v>0.5</v>
      </c>
      <c r="J126" s="157">
        <f t="shared" si="45"/>
      </c>
      <c r="K126" s="29">
        <f>IF($G126&lt;$R126%,$K$5,"")</f>
      </c>
      <c r="L126" s="29">
        <f t="shared" si="62"/>
      </c>
      <c r="M126" s="29">
        <f t="shared" si="63"/>
      </c>
      <c r="N126" s="29">
        <f t="shared" si="64"/>
      </c>
      <c r="O126" s="29">
        <f>IF(AND($G126&lt;Y126%,G126&gt;W126%),$O$5,"")</f>
      </c>
      <c r="P126" s="115">
        <v>0</v>
      </c>
      <c r="Q126" s="115">
        <v>20</v>
      </c>
      <c r="R126" s="116">
        <v>20.0001</v>
      </c>
      <c r="S126" s="116">
        <v>40</v>
      </c>
      <c r="T126" s="116">
        <v>40.0001</v>
      </c>
      <c r="U126" s="116">
        <v>60</v>
      </c>
      <c r="V126" s="116">
        <v>60.0001</v>
      </c>
      <c r="W126" s="116">
        <v>80</v>
      </c>
      <c r="X126" s="116">
        <v>80.0001</v>
      </c>
      <c r="Y126" s="253">
        <v>10000</v>
      </c>
      <c r="Z126" s="255">
        <f t="shared" si="40"/>
        <v>0</v>
      </c>
      <c r="AA126" s="438"/>
      <c r="AB126" s="439" t="s">
        <v>220</v>
      </c>
      <c r="AC126" s="433"/>
      <c r="AD126" s="407"/>
      <c r="AE126" s="408"/>
      <c r="AF126" s="348"/>
      <c r="AG126" s="1099" t="s">
        <v>317</v>
      </c>
      <c r="AH126" s="1100"/>
      <c r="AI126" s="1100"/>
      <c r="AJ126" s="1100"/>
      <c r="AK126" s="1100"/>
      <c r="AL126" s="1100"/>
      <c r="AM126" s="1100"/>
      <c r="AN126" s="1100"/>
      <c r="AO126" s="1100"/>
      <c r="AP126" s="1100"/>
      <c r="AQ126" s="1100"/>
      <c r="AR126" s="1100"/>
      <c r="AS126" s="1100"/>
      <c r="AT126" s="1100"/>
      <c r="AU126" s="1100"/>
      <c r="AV126" s="1100"/>
      <c r="AW126" s="1100"/>
      <c r="AX126" s="1100"/>
      <c r="AY126" s="1100"/>
      <c r="AZ126" s="1101"/>
      <c r="BA126" s="357">
        <f>IF(E126&gt;F126,"ERROR INPUT","")</f>
      </c>
      <c r="BF126">
        <v>4</v>
      </c>
      <c r="BG126" s="358">
        <f t="shared" si="41"/>
        <v>0.5</v>
      </c>
      <c r="BH126">
        <f t="shared" si="42"/>
        <v>2</v>
      </c>
      <c r="BI126" s="358">
        <f t="shared" si="43"/>
        <v>0</v>
      </c>
    </row>
    <row r="127" spans="1:61" ht="37.5" customHeight="1" thickBot="1">
      <c r="A127" s="1020" t="s">
        <v>24</v>
      </c>
      <c r="B127" s="1119" t="s">
        <v>27</v>
      </c>
      <c r="C127" s="326">
        <f t="shared" si="44"/>
        <v>120</v>
      </c>
      <c r="D127" s="312" t="s">
        <v>143</v>
      </c>
      <c r="E127" s="653"/>
      <c r="F127" s="218">
        <f>+$E$7</f>
        <v>0</v>
      </c>
      <c r="G127" s="175">
        <f>IF(E127="","",ROUND(E127/F127,4))</f>
      </c>
      <c r="H127" s="142">
        <f>IF(OR(E127="",F127="",F127=0),"",SUM(K127:O127))</f>
      </c>
      <c r="I127" s="692">
        <v>0.5</v>
      </c>
      <c r="J127" s="157">
        <f t="shared" si="45"/>
      </c>
      <c r="K127" s="29">
        <f>IF($G127&lt;$R127%,$K$5,"")</f>
      </c>
      <c r="L127" s="29">
        <f t="shared" si="62"/>
      </c>
      <c r="M127" s="29">
        <f t="shared" si="63"/>
      </c>
      <c r="N127" s="29">
        <f t="shared" si="64"/>
      </c>
      <c r="O127" s="29">
        <f>IF(AND($G127&lt;Y127%,G127&gt;W127%),$O$5,"")</f>
      </c>
      <c r="P127" s="115">
        <v>0</v>
      </c>
      <c r="Q127" s="115">
        <v>20</v>
      </c>
      <c r="R127" s="116">
        <v>20.0001</v>
      </c>
      <c r="S127" s="116">
        <v>40</v>
      </c>
      <c r="T127" s="116">
        <v>40.0001</v>
      </c>
      <c r="U127" s="116">
        <v>60</v>
      </c>
      <c r="V127" s="116">
        <v>60.0001</v>
      </c>
      <c r="W127" s="116">
        <v>80</v>
      </c>
      <c r="X127" s="116">
        <v>80.0001</v>
      </c>
      <c r="Y127" s="253">
        <v>10000</v>
      </c>
      <c r="Z127" s="255">
        <f t="shared" si="40"/>
        <v>0</v>
      </c>
      <c r="AA127" s="438"/>
      <c r="AB127" s="439" t="s">
        <v>220</v>
      </c>
      <c r="AC127" s="433"/>
      <c r="AD127" s="419"/>
      <c r="AE127" s="408"/>
      <c r="AF127" s="348"/>
      <c r="AG127" s="1099" t="s">
        <v>317</v>
      </c>
      <c r="AH127" s="1100"/>
      <c r="AI127" s="1100"/>
      <c r="AJ127" s="1100"/>
      <c r="AK127" s="1100"/>
      <c r="AL127" s="1100"/>
      <c r="AM127" s="1100"/>
      <c r="AN127" s="1100"/>
      <c r="AO127" s="1100"/>
      <c r="AP127" s="1100"/>
      <c r="AQ127" s="1100"/>
      <c r="AR127" s="1100"/>
      <c r="AS127" s="1100"/>
      <c r="AT127" s="1100"/>
      <c r="AU127" s="1100"/>
      <c r="AV127" s="1100"/>
      <c r="AW127" s="1100"/>
      <c r="AX127" s="1100"/>
      <c r="AY127" s="1100"/>
      <c r="AZ127" s="1101"/>
      <c r="BA127" s="357">
        <f>IF(E127&gt;F127,"ERROR INPUT","")</f>
      </c>
      <c r="BF127">
        <v>4</v>
      </c>
      <c r="BG127" s="358">
        <f t="shared" si="41"/>
        <v>0.5</v>
      </c>
      <c r="BH127">
        <f t="shared" si="42"/>
        <v>2</v>
      </c>
      <c r="BI127" s="358">
        <f t="shared" si="43"/>
        <v>0</v>
      </c>
    </row>
    <row r="128" spans="1:61" ht="61.5" customHeight="1" thickBot="1">
      <c r="A128" s="1020"/>
      <c r="B128" s="1119"/>
      <c r="C128" s="326">
        <f t="shared" si="44"/>
        <v>121</v>
      </c>
      <c r="D128" s="312" t="s">
        <v>144</v>
      </c>
      <c r="E128" s="653"/>
      <c r="F128" s="654"/>
      <c r="G128" s="176">
        <f>IF(E128="","",ROUND(E128/(4*F128),4)*100)</f>
      </c>
      <c r="H128" s="142">
        <f>IF(OR(E128="",F128="",F128=0),"",SUM(K128:O128))</f>
      </c>
      <c r="I128" s="692">
        <v>1</v>
      </c>
      <c r="J128" s="157">
        <f t="shared" si="45"/>
      </c>
      <c r="K128" s="68">
        <f>IF($G128&lt;$R128,$K$5,"")</f>
      </c>
      <c r="L128" s="68">
        <f>IF(AND($G128&lt;$T128,$G128&gt;$Q128),$L$5,"")</f>
      </c>
      <c r="M128" s="68">
        <f>IF(AND($G128&lt;$V128,$G128&gt;$S128),$M$5,"")</f>
      </c>
      <c r="N128" s="68">
        <f>IF(AND($G128&lt;$X128,$G128&gt;$U128),$N$5,"")</f>
      </c>
      <c r="O128" s="68">
        <f>IF(AND($G128&lt;Y128,G128&gt;W128),$O$5,"")</f>
      </c>
      <c r="P128" s="115">
        <v>0</v>
      </c>
      <c r="Q128" s="115">
        <v>20</v>
      </c>
      <c r="R128" s="116">
        <v>20.0001</v>
      </c>
      <c r="S128" s="116">
        <v>40</v>
      </c>
      <c r="T128" s="116">
        <v>40.0001</v>
      </c>
      <c r="U128" s="116">
        <v>60</v>
      </c>
      <c r="V128" s="116">
        <v>60.0001</v>
      </c>
      <c r="W128" s="116">
        <v>80</v>
      </c>
      <c r="X128" s="116">
        <v>80.0001</v>
      </c>
      <c r="Y128" s="253">
        <v>10000</v>
      </c>
      <c r="Z128" s="255">
        <f t="shared" si="40"/>
        <v>0</v>
      </c>
      <c r="AA128" s="438"/>
      <c r="AB128" s="439" t="s">
        <v>220</v>
      </c>
      <c r="AC128" s="433"/>
      <c r="AD128" s="407"/>
      <c r="AE128" s="408"/>
      <c r="AF128" s="348"/>
      <c r="AG128" s="1099" t="s">
        <v>318</v>
      </c>
      <c r="AH128" s="1100"/>
      <c r="AI128" s="1100"/>
      <c r="AJ128" s="1100"/>
      <c r="AK128" s="1100"/>
      <c r="AL128" s="1100"/>
      <c r="AM128" s="1100"/>
      <c r="AN128" s="1100"/>
      <c r="AO128" s="1100"/>
      <c r="AP128" s="1100"/>
      <c r="AQ128" s="1100"/>
      <c r="AR128" s="1100"/>
      <c r="AS128" s="1100"/>
      <c r="AT128" s="1100"/>
      <c r="AU128" s="1100"/>
      <c r="AV128" s="1100"/>
      <c r="AW128" s="1100"/>
      <c r="AX128" s="1100"/>
      <c r="AY128" s="1100"/>
      <c r="AZ128" s="1101"/>
      <c r="BA128" s="357"/>
      <c r="BF128">
        <v>4</v>
      </c>
      <c r="BG128" s="358">
        <f t="shared" si="41"/>
        <v>1</v>
      </c>
      <c r="BH128">
        <f t="shared" si="42"/>
        <v>4</v>
      </c>
      <c r="BI128" s="358">
        <f t="shared" si="43"/>
        <v>0</v>
      </c>
    </row>
    <row r="129" spans="1:61" ht="37.5" customHeight="1" thickBot="1">
      <c r="A129" s="1020"/>
      <c r="B129" s="1119"/>
      <c r="C129" s="326">
        <f t="shared" si="44"/>
        <v>122</v>
      </c>
      <c r="D129" s="312" t="s">
        <v>145</v>
      </c>
      <c r="E129" s="653"/>
      <c r="F129" s="218">
        <f>+$E$7</f>
        <v>0</v>
      </c>
      <c r="G129" s="175">
        <f>IF(E129="","",ROUND(E129/F129,4))</f>
      </c>
      <c r="H129" s="142">
        <f>IF(OR(E129="",F129="",F129=0),"",SUM(K129:O129))</f>
      </c>
      <c r="I129" s="692">
        <v>0.5</v>
      </c>
      <c r="J129" s="157">
        <f t="shared" si="45"/>
      </c>
      <c r="K129" s="29">
        <f>IF($G129&lt;$R129%,$K$5,"")</f>
      </c>
      <c r="L129" s="29">
        <f>IF(AND($G129&lt;$T129%,$G129&gt;$Q129%),$L$5,"")</f>
      </c>
      <c r="M129" s="29">
        <f>IF(AND($G129&lt;$V129%,$G129&gt;$S129%),$M$5,"")</f>
      </c>
      <c r="N129" s="29">
        <f>IF(AND($G129&lt;$X129%,$G129&gt;$U129%),$N$5,"")</f>
      </c>
      <c r="O129" s="29">
        <f>IF(AND($G129&lt;Y129%,G129&gt;W129%),$O$5,"")</f>
      </c>
      <c r="P129" s="115">
        <v>0</v>
      </c>
      <c r="Q129" s="115">
        <v>20</v>
      </c>
      <c r="R129" s="116">
        <v>20.0001</v>
      </c>
      <c r="S129" s="116">
        <v>40</v>
      </c>
      <c r="T129" s="116">
        <v>40.0001</v>
      </c>
      <c r="U129" s="116">
        <v>60</v>
      </c>
      <c r="V129" s="116">
        <v>60.0001</v>
      </c>
      <c r="W129" s="116">
        <v>80</v>
      </c>
      <c r="X129" s="116">
        <v>80.0001</v>
      </c>
      <c r="Y129" s="253">
        <v>10000</v>
      </c>
      <c r="Z129" s="255">
        <f t="shared" si="40"/>
        <v>0</v>
      </c>
      <c r="AA129" s="438"/>
      <c r="AB129" s="439" t="s">
        <v>220</v>
      </c>
      <c r="AC129" s="433"/>
      <c r="AD129" s="407"/>
      <c r="AE129" s="408"/>
      <c r="AF129" s="348"/>
      <c r="AG129" s="1099" t="s">
        <v>319</v>
      </c>
      <c r="AH129" s="1100"/>
      <c r="AI129" s="1100"/>
      <c r="AJ129" s="1100"/>
      <c r="AK129" s="1100"/>
      <c r="AL129" s="1100"/>
      <c r="AM129" s="1100"/>
      <c r="AN129" s="1100"/>
      <c r="AO129" s="1100"/>
      <c r="AP129" s="1100"/>
      <c r="AQ129" s="1100"/>
      <c r="AR129" s="1100"/>
      <c r="AS129" s="1100"/>
      <c r="AT129" s="1100"/>
      <c r="AU129" s="1100"/>
      <c r="AV129" s="1100"/>
      <c r="AW129" s="1100"/>
      <c r="AX129" s="1100"/>
      <c r="AY129" s="1100"/>
      <c r="AZ129" s="1101"/>
      <c r="BA129" s="357">
        <f>IF(E129&gt;F129,"ERROR INPUT","")</f>
      </c>
      <c r="BF129">
        <v>4</v>
      </c>
      <c r="BG129" s="358">
        <f t="shared" si="41"/>
        <v>0.5</v>
      </c>
      <c r="BH129">
        <f t="shared" si="42"/>
        <v>2</v>
      </c>
      <c r="BI129" s="358">
        <f t="shared" si="43"/>
        <v>0</v>
      </c>
    </row>
    <row r="130" spans="1:61" ht="27" customHeight="1" thickBot="1">
      <c r="A130" s="1020"/>
      <c r="B130" s="1119"/>
      <c r="C130" s="326">
        <f t="shared" si="44"/>
        <v>123</v>
      </c>
      <c r="D130" s="312" t="s">
        <v>146</v>
      </c>
      <c r="E130" s="1156"/>
      <c r="F130" s="1043"/>
      <c r="G130" s="123">
        <f>+E130</f>
        <v>0</v>
      </c>
      <c r="H130" s="142">
        <f>IF(E130="","",SUM(K130:O130))</f>
      </c>
      <c r="I130" s="692">
        <v>1.5</v>
      </c>
      <c r="J130" s="157">
        <f t="shared" si="45"/>
      </c>
      <c r="K130" s="68">
        <f>IF($E130&lt;$R130,$K$5,"")</f>
        <v>0</v>
      </c>
      <c r="L130" s="68">
        <f>IF(AND($E130&lt;$T130,$E130&gt;$Q130),$L$5,"")</f>
      </c>
      <c r="M130" s="68">
        <f>IF(AND($E130&lt;$V130,$E130&gt;$S130),$M$5,"")</f>
      </c>
      <c r="N130" s="68">
        <f>IF(AND($E130&lt;$X130,$E130&gt;$U130),$N$5,"")</f>
      </c>
      <c r="O130" s="68">
        <f>IF(AND($E130&lt;Y130,E130&gt;W130),$O$5,"")</f>
      </c>
      <c r="P130" s="115">
        <v>0</v>
      </c>
      <c r="Q130" s="115">
        <v>10</v>
      </c>
      <c r="R130" s="116">
        <v>11</v>
      </c>
      <c r="S130" s="116">
        <v>50</v>
      </c>
      <c r="T130" s="116">
        <v>51</v>
      </c>
      <c r="U130" s="116">
        <v>100</v>
      </c>
      <c r="V130" s="116">
        <v>101</v>
      </c>
      <c r="W130" s="116">
        <v>200</v>
      </c>
      <c r="X130" s="116">
        <v>201</v>
      </c>
      <c r="Y130" s="253">
        <v>10000</v>
      </c>
      <c r="Z130" s="255">
        <f t="shared" si="40"/>
        <v>0</v>
      </c>
      <c r="AA130" s="438"/>
      <c r="AB130" s="439" t="s">
        <v>220</v>
      </c>
      <c r="AC130" s="433"/>
      <c r="AD130" s="407"/>
      <c r="AE130" s="408"/>
      <c r="AF130" s="348"/>
      <c r="AG130" s="1099" t="s">
        <v>320</v>
      </c>
      <c r="AH130" s="1100"/>
      <c r="AI130" s="1100"/>
      <c r="AJ130" s="1100"/>
      <c r="AK130" s="1100"/>
      <c r="AL130" s="1100"/>
      <c r="AM130" s="1100"/>
      <c r="AN130" s="1100"/>
      <c r="AO130" s="1100"/>
      <c r="AP130" s="1100"/>
      <c r="AQ130" s="1100"/>
      <c r="AR130" s="1100"/>
      <c r="AS130" s="1100"/>
      <c r="AT130" s="1100"/>
      <c r="AU130" s="1100"/>
      <c r="AV130" s="1100"/>
      <c r="AW130" s="1100"/>
      <c r="AX130" s="1100"/>
      <c r="AY130" s="1100"/>
      <c r="AZ130" s="1101"/>
      <c r="BA130" s="356"/>
      <c r="BF130">
        <v>4</v>
      </c>
      <c r="BG130" s="358">
        <f t="shared" si="41"/>
        <v>1.5</v>
      </c>
      <c r="BH130">
        <f t="shared" si="42"/>
        <v>6</v>
      </c>
      <c r="BI130" s="358">
        <f t="shared" si="43"/>
        <v>0</v>
      </c>
    </row>
    <row r="131" spans="1:63" ht="37.5" customHeight="1" thickBot="1">
      <c r="A131" s="1020"/>
      <c r="B131" s="1119"/>
      <c r="C131" s="326">
        <f t="shared" si="44"/>
        <v>124</v>
      </c>
      <c r="D131" s="312" t="s">
        <v>147</v>
      </c>
      <c r="E131" s="653"/>
      <c r="F131" s="653"/>
      <c r="G131" s="175">
        <f>IF(E131="","",ROUND(E131/F131,4))</f>
      </c>
      <c r="H131" s="142">
        <f>IF(OR(E131="",F131="",F131=0),"",SUM(K131:O131))</f>
      </c>
      <c r="I131" s="692">
        <v>0.5</v>
      </c>
      <c r="J131" s="157">
        <f t="shared" si="45"/>
      </c>
      <c r="K131" s="29">
        <f>IF($G131&lt;$R131%,$K$5,"")</f>
      </c>
      <c r="L131" s="29">
        <f>IF(AND($G131&lt;$T131%,$G131&gt;$Q131%),$L$5,"")</f>
      </c>
      <c r="M131" s="29">
        <f>IF(AND($G131&lt;$V131%,$G131&gt;$S131%),$M$5,"")</f>
      </c>
      <c r="N131" s="29">
        <f>IF(AND($G131&lt;$X131%,$G131&gt;$U131%),$N$5,"")</f>
      </c>
      <c r="O131" s="29">
        <f>IF(AND($G131&lt;Y131%,G131&gt;W131%),$O$5,"")</f>
      </c>
      <c r="P131" s="115">
        <v>0</v>
      </c>
      <c r="Q131" s="115">
        <v>20</v>
      </c>
      <c r="R131" s="116">
        <v>20.0001</v>
      </c>
      <c r="S131" s="116">
        <v>40</v>
      </c>
      <c r="T131" s="116">
        <v>40.0001</v>
      </c>
      <c r="U131" s="116">
        <v>60</v>
      </c>
      <c r="V131" s="116">
        <v>60.0001</v>
      </c>
      <c r="W131" s="116">
        <v>80</v>
      </c>
      <c r="X131" s="116">
        <v>80.0001</v>
      </c>
      <c r="Y131" s="253">
        <v>10000</v>
      </c>
      <c r="Z131" s="255">
        <f t="shared" si="40"/>
        <v>0</v>
      </c>
      <c r="AA131" s="502"/>
      <c r="AB131" s="503" t="s">
        <v>220</v>
      </c>
      <c r="AC131" s="437"/>
      <c r="AD131" s="407"/>
      <c r="AE131" s="408"/>
      <c r="AF131" s="348"/>
      <c r="AG131" s="1099" t="s">
        <v>377</v>
      </c>
      <c r="AH131" s="1100"/>
      <c r="AI131" s="1100"/>
      <c r="AJ131" s="1100"/>
      <c r="AK131" s="1100"/>
      <c r="AL131" s="1100"/>
      <c r="AM131" s="1100"/>
      <c r="AN131" s="1100"/>
      <c r="AO131" s="1100"/>
      <c r="AP131" s="1100"/>
      <c r="AQ131" s="1100"/>
      <c r="AR131" s="1100"/>
      <c r="AS131" s="1100"/>
      <c r="AT131" s="1100"/>
      <c r="AU131" s="1100"/>
      <c r="AV131" s="1100"/>
      <c r="AW131" s="1100"/>
      <c r="AX131" s="1100"/>
      <c r="AY131" s="1100"/>
      <c r="AZ131" s="1101"/>
      <c r="BA131" s="357">
        <f>IF(E131&gt;F131,"ERROR INPUT","")</f>
      </c>
      <c r="BF131">
        <v>4</v>
      </c>
      <c r="BG131" s="358">
        <f t="shared" si="41"/>
        <v>0.5</v>
      </c>
      <c r="BH131">
        <f t="shared" si="42"/>
        <v>2</v>
      </c>
      <c r="BI131" s="358">
        <f t="shared" si="43"/>
        <v>0</v>
      </c>
      <c r="BJ131" s="358">
        <f>SUM(BH124:BH131)</f>
        <v>24</v>
      </c>
      <c r="BK131" s="358">
        <f>SUM(BI124:BI131)</f>
        <v>0</v>
      </c>
    </row>
    <row r="132" spans="1:61" ht="64.5" customHeight="1" thickBot="1">
      <c r="A132" s="1020"/>
      <c r="B132" s="1120" t="s">
        <v>28</v>
      </c>
      <c r="C132" s="327">
        <f t="shared" si="44"/>
        <v>125</v>
      </c>
      <c r="D132" s="313" t="s">
        <v>148</v>
      </c>
      <c r="E132" s="1155"/>
      <c r="F132" s="1041"/>
      <c r="G132" s="122">
        <f aca="true" t="shared" si="65" ref="G132:G137">+E132</f>
        <v>0</v>
      </c>
      <c r="H132" s="143">
        <f aca="true" t="shared" si="66" ref="H132:H137">IF(E132="","",SUM(K132:O132))</f>
      </c>
      <c r="I132" s="693">
        <v>0.5</v>
      </c>
      <c r="J132" s="158">
        <f t="shared" si="45"/>
      </c>
      <c r="K132" s="117">
        <f aca="true" t="shared" si="67" ref="K132:K137">IF($E132&lt;$R132,$K$5,"")</f>
        <v>0</v>
      </c>
      <c r="L132" s="117">
        <f aca="true" t="shared" si="68" ref="L132:L137">IF(AND($E132&lt;$T132,$E132&gt;$Q132),$L$5,"")</f>
      </c>
      <c r="M132" s="117">
        <f aca="true" t="shared" si="69" ref="M132:M137">IF(AND($E132&lt;$V132,$E132&gt;$S132),$M$5,"")</f>
      </c>
      <c r="N132" s="117">
        <f aca="true" t="shared" si="70" ref="N132:N137">IF(AND($E132&lt;$X132,$E132&gt;$U132),$N$5,"")</f>
      </c>
      <c r="O132" s="117">
        <f aca="true" t="shared" si="71" ref="O132:O137">IF(AND($E132&lt;Y132,E132&gt;W132),$O$5,"")</f>
      </c>
      <c r="P132" s="118">
        <v>0</v>
      </c>
      <c r="Q132" s="118">
        <v>0</v>
      </c>
      <c r="R132" s="119">
        <v>1</v>
      </c>
      <c r="S132" s="119">
        <v>1</v>
      </c>
      <c r="T132" s="119">
        <v>2</v>
      </c>
      <c r="U132" s="119">
        <v>2</v>
      </c>
      <c r="V132" s="119">
        <v>3</v>
      </c>
      <c r="W132" s="119">
        <v>3</v>
      </c>
      <c r="X132" s="119">
        <v>4</v>
      </c>
      <c r="Y132" s="254">
        <v>10000</v>
      </c>
      <c r="Z132" s="255">
        <f t="shared" si="40"/>
        <v>0</v>
      </c>
      <c r="AA132" s="504"/>
      <c r="AB132" s="505" t="s">
        <v>220</v>
      </c>
      <c r="AC132" s="434"/>
      <c r="AD132" s="419"/>
      <c r="AE132" s="408"/>
      <c r="AF132" s="348"/>
      <c r="AG132" s="1105" t="s">
        <v>321</v>
      </c>
      <c r="AH132" s="1106"/>
      <c r="AI132" s="1106"/>
      <c r="AJ132" s="1106"/>
      <c r="AK132" s="1106"/>
      <c r="AL132" s="1106"/>
      <c r="AM132" s="1106"/>
      <c r="AN132" s="1106"/>
      <c r="AO132" s="1106"/>
      <c r="AP132" s="1106"/>
      <c r="AQ132" s="1106"/>
      <c r="AR132" s="1106"/>
      <c r="AS132" s="1106"/>
      <c r="AT132" s="1106"/>
      <c r="AU132" s="1106"/>
      <c r="AV132" s="1106"/>
      <c r="AW132" s="1106"/>
      <c r="AX132" s="1106"/>
      <c r="AY132" s="1106"/>
      <c r="AZ132" s="1107"/>
      <c r="BA132" s="356"/>
      <c r="BF132">
        <v>4</v>
      </c>
      <c r="BG132" s="358">
        <f t="shared" si="41"/>
        <v>0.5</v>
      </c>
      <c r="BH132">
        <f t="shared" si="42"/>
        <v>2</v>
      </c>
      <c r="BI132" s="358">
        <f t="shared" si="43"/>
        <v>0</v>
      </c>
    </row>
    <row r="133" spans="1:61" ht="32.25" customHeight="1" thickBot="1">
      <c r="A133" s="1020"/>
      <c r="B133" s="1120"/>
      <c r="C133" s="327">
        <f t="shared" si="44"/>
        <v>126</v>
      </c>
      <c r="D133" s="313" t="s">
        <v>149</v>
      </c>
      <c r="E133" s="1155"/>
      <c r="F133" s="1041"/>
      <c r="G133" s="122">
        <f t="shared" si="65"/>
        <v>0</v>
      </c>
      <c r="H133" s="143">
        <f t="shared" si="66"/>
      </c>
      <c r="I133" s="693">
        <v>0.5</v>
      </c>
      <c r="J133" s="158">
        <f t="shared" si="45"/>
      </c>
      <c r="K133" s="117">
        <f t="shared" si="67"/>
        <v>0</v>
      </c>
      <c r="L133" s="117">
        <f t="shared" si="68"/>
      </c>
      <c r="M133" s="117">
        <f t="shared" si="69"/>
      </c>
      <c r="N133" s="117">
        <f t="shared" si="70"/>
      </c>
      <c r="O133" s="117">
        <f t="shared" si="71"/>
      </c>
      <c r="P133" s="118">
        <v>0</v>
      </c>
      <c r="Q133" s="118">
        <v>0</v>
      </c>
      <c r="R133" s="119">
        <v>1</v>
      </c>
      <c r="S133" s="119">
        <v>1</v>
      </c>
      <c r="T133" s="119">
        <v>2</v>
      </c>
      <c r="U133" s="119">
        <v>2</v>
      </c>
      <c r="V133" s="119">
        <v>3</v>
      </c>
      <c r="W133" s="119">
        <v>3</v>
      </c>
      <c r="X133" s="119">
        <v>4</v>
      </c>
      <c r="Y133" s="254">
        <v>10000</v>
      </c>
      <c r="Z133" s="255">
        <f t="shared" si="40"/>
        <v>0</v>
      </c>
      <c r="AA133" s="504"/>
      <c r="AB133" s="505" t="s">
        <v>220</v>
      </c>
      <c r="AC133" s="434"/>
      <c r="AD133" s="407"/>
      <c r="AE133" s="408"/>
      <c r="AF133" s="348"/>
      <c r="AG133" s="1099" t="s">
        <v>321</v>
      </c>
      <c r="AH133" s="1100"/>
      <c r="AI133" s="1100"/>
      <c r="AJ133" s="1100"/>
      <c r="AK133" s="1100"/>
      <c r="AL133" s="1100"/>
      <c r="AM133" s="1100"/>
      <c r="AN133" s="1100"/>
      <c r="AO133" s="1100"/>
      <c r="AP133" s="1100"/>
      <c r="AQ133" s="1100"/>
      <c r="AR133" s="1100"/>
      <c r="AS133" s="1100"/>
      <c r="AT133" s="1100"/>
      <c r="AU133" s="1100"/>
      <c r="AV133" s="1100"/>
      <c r="AW133" s="1100"/>
      <c r="AX133" s="1100"/>
      <c r="AY133" s="1100"/>
      <c r="AZ133" s="1101"/>
      <c r="BA133" s="356"/>
      <c r="BF133">
        <v>4</v>
      </c>
      <c r="BG133" s="358">
        <f t="shared" si="41"/>
        <v>0.5</v>
      </c>
      <c r="BH133">
        <f t="shared" si="42"/>
        <v>2</v>
      </c>
      <c r="BI133" s="358">
        <f t="shared" si="43"/>
        <v>0</v>
      </c>
    </row>
    <row r="134" spans="1:61" ht="37.5" customHeight="1" thickBot="1">
      <c r="A134" s="1020"/>
      <c r="B134" s="1120"/>
      <c r="C134" s="327">
        <f t="shared" si="44"/>
        <v>127</v>
      </c>
      <c r="D134" s="313" t="s">
        <v>150</v>
      </c>
      <c r="E134" s="1155"/>
      <c r="F134" s="1041"/>
      <c r="G134" s="122">
        <f t="shared" si="65"/>
        <v>0</v>
      </c>
      <c r="H134" s="143">
        <f t="shared" si="66"/>
      </c>
      <c r="I134" s="693">
        <v>0.5</v>
      </c>
      <c r="J134" s="158">
        <f t="shared" si="45"/>
      </c>
      <c r="K134" s="117">
        <f t="shared" si="67"/>
        <v>0</v>
      </c>
      <c r="L134" s="117">
        <f t="shared" si="68"/>
      </c>
      <c r="M134" s="117">
        <f t="shared" si="69"/>
      </c>
      <c r="N134" s="117">
        <f t="shared" si="70"/>
      </c>
      <c r="O134" s="117">
        <f t="shared" si="71"/>
      </c>
      <c r="P134" s="118">
        <v>0</v>
      </c>
      <c r="Q134" s="118">
        <v>0</v>
      </c>
      <c r="R134" s="119">
        <v>1</v>
      </c>
      <c r="S134" s="119">
        <v>1</v>
      </c>
      <c r="T134" s="119">
        <v>2</v>
      </c>
      <c r="U134" s="119">
        <v>2</v>
      </c>
      <c r="V134" s="119">
        <v>3</v>
      </c>
      <c r="W134" s="119">
        <v>3</v>
      </c>
      <c r="X134" s="119">
        <v>4</v>
      </c>
      <c r="Y134" s="254">
        <v>10000</v>
      </c>
      <c r="Z134" s="255">
        <f t="shared" si="40"/>
        <v>0</v>
      </c>
      <c r="AA134" s="504"/>
      <c r="AB134" s="505" t="s">
        <v>220</v>
      </c>
      <c r="AC134" s="434"/>
      <c r="AD134" s="407"/>
      <c r="AE134" s="408"/>
      <c r="AF134" s="348"/>
      <c r="AG134" s="1099" t="s">
        <v>321</v>
      </c>
      <c r="AH134" s="1100"/>
      <c r="AI134" s="1100"/>
      <c r="AJ134" s="1100"/>
      <c r="AK134" s="1100"/>
      <c r="AL134" s="1100"/>
      <c r="AM134" s="1100"/>
      <c r="AN134" s="1100"/>
      <c r="AO134" s="1100"/>
      <c r="AP134" s="1100"/>
      <c r="AQ134" s="1100"/>
      <c r="AR134" s="1100"/>
      <c r="AS134" s="1100"/>
      <c r="AT134" s="1100"/>
      <c r="AU134" s="1100"/>
      <c r="AV134" s="1100"/>
      <c r="AW134" s="1100"/>
      <c r="AX134" s="1100"/>
      <c r="AY134" s="1100"/>
      <c r="AZ134" s="1101"/>
      <c r="BA134" s="356"/>
      <c r="BF134">
        <v>4</v>
      </c>
      <c r="BG134" s="358">
        <f t="shared" si="41"/>
        <v>0.5</v>
      </c>
      <c r="BH134">
        <f t="shared" si="42"/>
        <v>2</v>
      </c>
      <c r="BI134" s="358">
        <f t="shared" si="43"/>
        <v>0</v>
      </c>
    </row>
    <row r="135" spans="1:61" ht="37.5" customHeight="1" thickBot="1">
      <c r="A135" s="1020"/>
      <c r="B135" s="1120"/>
      <c r="C135" s="327">
        <f t="shared" si="44"/>
        <v>128</v>
      </c>
      <c r="D135" s="313" t="s">
        <v>151</v>
      </c>
      <c r="E135" s="1155"/>
      <c r="F135" s="1041"/>
      <c r="G135" s="122">
        <f t="shared" si="65"/>
        <v>0</v>
      </c>
      <c r="H135" s="143">
        <f t="shared" si="66"/>
      </c>
      <c r="I135" s="693">
        <v>0.5</v>
      </c>
      <c r="J135" s="158">
        <f t="shared" si="45"/>
      </c>
      <c r="K135" s="117">
        <f t="shared" si="67"/>
        <v>0</v>
      </c>
      <c r="L135" s="117">
        <f t="shared" si="68"/>
      </c>
      <c r="M135" s="117">
        <f t="shared" si="69"/>
      </c>
      <c r="N135" s="117">
        <f t="shared" si="70"/>
      </c>
      <c r="O135" s="117">
        <f t="shared" si="71"/>
      </c>
      <c r="P135" s="118">
        <v>0</v>
      </c>
      <c r="Q135" s="118">
        <v>0</v>
      </c>
      <c r="R135" s="119">
        <v>1</v>
      </c>
      <c r="S135" s="119">
        <v>1</v>
      </c>
      <c r="T135" s="119">
        <v>2</v>
      </c>
      <c r="U135" s="119">
        <v>2</v>
      </c>
      <c r="V135" s="119">
        <v>3</v>
      </c>
      <c r="W135" s="119">
        <v>3</v>
      </c>
      <c r="X135" s="119">
        <v>4</v>
      </c>
      <c r="Y135" s="254">
        <v>10000</v>
      </c>
      <c r="Z135" s="255">
        <f t="shared" si="40"/>
        <v>0</v>
      </c>
      <c r="AA135" s="504"/>
      <c r="AB135" s="505" t="s">
        <v>220</v>
      </c>
      <c r="AC135" s="434"/>
      <c r="AD135" s="407"/>
      <c r="AE135" s="408"/>
      <c r="AF135" s="348"/>
      <c r="AG135" s="1099" t="s">
        <v>322</v>
      </c>
      <c r="AH135" s="1100"/>
      <c r="AI135" s="1100"/>
      <c r="AJ135" s="1100"/>
      <c r="AK135" s="1100"/>
      <c r="AL135" s="1100"/>
      <c r="AM135" s="1100"/>
      <c r="AN135" s="1100"/>
      <c r="AO135" s="1100"/>
      <c r="AP135" s="1100"/>
      <c r="AQ135" s="1100"/>
      <c r="AR135" s="1100"/>
      <c r="AS135" s="1100"/>
      <c r="AT135" s="1100"/>
      <c r="AU135" s="1100"/>
      <c r="AV135" s="1100"/>
      <c r="AW135" s="1100"/>
      <c r="AX135" s="1100"/>
      <c r="AY135" s="1100"/>
      <c r="AZ135" s="1101"/>
      <c r="BA135" s="356"/>
      <c r="BF135">
        <v>4</v>
      </c>
      <c r="BG135" s="358">
        <f t="shared" si="41"/>
        <v>0.5</v>
      </c>
      <c r="BH135">
        <f t="shared" si="42"/>
        <v>2</v>
      </c>
      <c r="BI135" s="358">
        <f t="shared" si="43"/>
        <v>0</v>
      </c>
    </row>
    <row r="136" spans="1:61" ht="30.75" customHeight="1" thickBot="1">
      <c r="A136" s="1020"/>
      <c r="B136" s="1120"/>
      <c r="C136" s="327">
        <f t="shared" si="44"/>
        <v>129</v>
      </c>
      <c r="D136" s="313" t="s">
        <v>152</v>
      </c>
      <c r="E136" s="1155"/>
      <c r="F136" s="1041"/>
      <c r="G136" s="122">
        <f t="shared" si="65"/>
        <v>0</v>
      </c>
      <c r="H136" s="143">
        <f t="shared" si="66"/>
      </c>
      <c r="I136" s="693">
        <v>0.5</v>
      </c>
      <c r="J136" s="158">
        <f t="shared" si="45"/>
      </c>
      <c r="K136" s="117">
        <f t="shared" si="67"/>
        <v>0</v>
      </c>
      <c r="L136" s="117">
        <f t="shared" si="68"/>
      </c>
      <c r="M136" s="117">
        <f t="shared" si="69"/>
      </c>
      <c r="N136" s="117">
        <f t="shared" si="70"/>
      </c>
      <c r="O136" s="117">
        <f t="shared" si="71"/>
      </c>
      <c r="P136" s="118">
        <v>0</v>
      </c>
      <c r="Q136" s="118">
        <v>0</v>
      </c>
      <c r="R136" s="119">
        <v>1</v>
      </c>
      <c r="S136" s="119">
        <v>1</v>
      </c>
      <c r="T136" s="119">
        <v>2</v>
      </c>
      <c r="U136" s="119">
        <v>2</v>
      </c>
      <c r="V136" s="119">
        <v>3</v>
      </c>
      <c r="W136" s="119">
        <v>3</v>
      </c>
      <c r="X136" s="119">
        <v>4</v>
      </c>
      <c r="Y136" s="254">
        <v>10000</v>
      </c>
      <c r="Z136" s="255">
        <f>IF(AD136="YES",1,0)*IF(BA136="ERROR INPUT",0,1)*IF(OR($BA$143=0,$BA$143=""),1,(IF(AE136="NOT VERIFIED",0,1)))</f>
        <v>0</v>
      </c>
      <c r="AA136" s="504"/>
      <c r="AB136" s="505" t="s">
        <v>220</v>
      </c>
      <c r="AC136" s="434"/>
      <c r="AD136" s="407"/>
      <c r="AE136" s="408"/>
      <c r="AF136" s="348"/>
      <c r="AG136" s="1099" t="s">
        <v>322</v>
      </c>
      <c r="AH136" s="1100"/>
      <c r="AI136" s="1100"/>
      <c r="AJ136" s="1100"/>
      <c r="AK136" s="1100"/>
      <c r="AL136" s="1100"/>
      <c r="AM136" s="1100"/>
      <c r="AN136" s="1100"/>
      <c r="AO136" s="1100"/>
      <c r="AP136" s="1100"/>
      <c r="AQ136" s="1100"/>
      <c r="AR136" s="1100"/>
      <c r="AS136" s="1100"/>
      <c r="AT136" s="1100"/>
      <c r="AU136" s="1100"/>
      <c r="AV136" s="1100"/>
      <c r="AW136" s="1100"/>
      <c r="AX136" s="1100"/>
      <c r="AY136" s="1100"/>
      <c r="AZ136" s="1101"/>
      <c r="BA136" s="356"/>
      <c r="BF136">
        <v>4</v>
      </c>
      <c r="BG136" s="358">
        <f>+I136</f>
        <v>0.5</v>
      </c>
      <c r="BH136">
        <f>+BF136*BG136</f>
        <v>2</v>
      </c>
      <c r="BI136" s="358">
        <f>IF(J136="",0,+J136)</f>
        <v>0</v>
      </c>
    </row>
    <row r="137" spans="1:63" ht="25.5" customHeight="1" thickBot="1">
      <c r="A137" s="1020"/>
      <c r="B137" s="1120"/>
      <c r="C137" s="327">
        <f>1+C136</f>
        <v>130</v>
      </c>
      <c r="D137" s="313" t="s">
        <v>153</v>
      </c>
      <c r="E137" s="1155"/>
      <c r="F137" s="1041"/>
      <c r="G137" s="122">
        <f t="shared" si="65"/>
        <v>0</v>
      </c>
      <c r="H137" s="143">
        <f t="shared" si="66"/>
      </c>
      <c r="I137" s="693">
        <v>0.5</v>
      </c>
      <c r="J137" s="158">
        <f t="shared" si="45"/>
      </c>
      <c r="K137" s="117">
        <f t="shared" si="67"/>
        <v>0</v>
      </c>
      <c r="L137" s="117">
        <f t="shared" si="68"/>
      </c>
      <c r="M137" s="117">
        <f t="shared" si="69"/>
      </c>
      <c r="N137" s="117">
        <f t="shared" si="70"/>
      </c>
      <c r="O137" s="117">
        <f t="shared" si="71"/>
      </c>
      <c r="P137" s="118">
        <v>0</v>
      </c>
      <c r="Q137" s="118">
        <v>0</v>
      </c>
      <c r="R137" s="119">
        <v>1</v>
      </c>
      <c r="S137" s="119">
        <v>1</v>
      </c>
      <c r="T137" s="119">
        <v>2</v>
      </c>
      <c r="U137" s="119">
        <v>2</v>
      </c>
      <c r="V137" s="119">
        <v>3</v>
      </c>
      <c r="W137" s="119">
        <v>3</v>
      </c>
      <c r="X137" s="119">
        <v>4</v>
      </c>
      <c r="Y137" s="254">
        <v>10000</v>
      </c>
      <c r="Z137" s="255">
        <f>IF(AD137="YES",1,0)*IF(BA137="ERROR INPUT",0,1)*IF(OR($BA$143=0,$BA$143=""),1,(IF(AE137="NOT VERIFIED",0,1)))</f>
        <v>0</v>
      </c>
      <c r="AA137" s="504"/>
      <c r="AB137" s="505" t="s">
        <v>220</v>
      </c>
      <c r="AC137" s="434"/>
      <c r="AD137" s="407"/>
      <c r="AE137" s="408"/>
      <c r="AF137" s="348"/>
      <c r="AG137" s="1099" t="s">
        <v>322</v>
      </c>
      <c r="AH137" s="1100"/>
      <c r="AI137" s="1100"/>
      <c r="AJ137" s="1100"/>
      <c r="AK137" s="1100"/>
      <c r="AL137" s="1100"/>
      <c r="AM137" s="1100"/>
      <c r="AN137" s="1100"/>
      <c r="AO137" s="1100"/>
      <c r="AP137" s="1100"/>
      <c r="AQ137" s="1100"/>
      <c r="AR137" s="1100"/>
      <c r="AS137" s="1100"/>
      <c r="AT137" s="1100"/>
      <c r="AU137" s="1100"/>
      <c r="AV137" s="1100"/>
      <c r="AW137" s="1100"/>
      <c r="AX137" s="1100"/>
      <c r="AY137" s="1100"/>
      <c r="AZ137" s="1101"/>
      <c r="BA137" s="356"/>
      <c r="BF137">
        <v>4</v>
      </c>
      <c r="BG137" s="358">
        <f>+I137</f>
        <v>0.5</v>
      </c>
      <c r="BH137">
        <f>+BF137*BG137</f>
        <v>2</v>
      </c>
      <c r="BI137" s="358">
        <f>IF(J137="",0,+J137)</f>
        <v>0</v>
      </c>
      <c r="BJ137" s="358">
        <f>SUM(BH132:BH137)</f>
        <v>12</v>
      </c>
      <c r="BK137" s="358">
        <f>SUM(BI132:BI137)</f>
        <v>0</v>
      </c>
    </row>
    <row r="138" spans="1:63" ht="93" customHeight="1" hidden="1" thickBot="1">
      <c r="A138" s="1154" t="s">
        <v>374</v>
      </c>
      <c r="B138" s="1154"/>
      <c r="C138" s="1154"/>
      <c r="D138" s="1154"/>
      <c r="E138" s="1154"/>
      <c r="F138" s="1154"/>
      <c r="G138" s="1154"/>
      <c r="H138" s="1154"/>
      <c r="I138" s="1154"/>
      <c r="J138" s="1154"/>
      <c r="K138" s="1154"/>
      <c r="L138" s="1154"/>
      <c r="M138" s="1154"/>
      <c r="N138" s="1154"/>
      <c r="O138" s="1154"/>
      <c r="P138" s="1154"/>
      <c r="Q138" s="1154"/>
      <c r="R138" s="1154"/>
      <c r="S138" s="1154"/>
      <c r="T138" s="1154"/>
      <c r="U138" s="1154"/>
      <c r="V138" s="1154"/>
      <c r="W138" s="1154"/>
      <c r="X138" s="1154"/>
      <c r="Y138" s="1154"/>
      <c r="Z138" s="1154"/>
      <c r="AA138" s="1154"/>
      <c r="AB138" s="1154"/>
      <c r="AC138" s="1154"/>
      <c r="AD138" s="664"/>
      <c r="AE138" s="625"/>
      <c r="AF138" s="348"/>
      <c r="AG138" s="626"/>
      <c r="AH138" s="626"/>
      <c r="AI138" s="626"/>
      <c r="AJ138" s="626"/>
      <c r="AK138" s="626"/>
      <c r="AL138" s="626"/>
      <c r="AM138" s="626"/>
      <c r="AN138" s="626"/>
      <c r="AO138" s="626"/>
      <c r="AP138" s="626"/>
      <c r="AQ138" s="626"/>
      <c r="AR138" s="626"/>
      <c r="AS138" s="626"/>
      <c r="AT138" s="626"/>
      <c r="AU138" s="626"/>
      <c r="AV138" s="626"/>
      <c r="AW138" s="626"/>
      <c r="AX138" s="626"/>
      <c r="AY138" s="626"/>
      <c r="AZ138" s="626"/>
      <c r="BA138" s="627"/>
      <c r="BG138" s="358"/>
      <c r="BI138" s="358"/>
      <c r="BJ138" s="358"/>
      <c r="BK138" s="358"/>
    </row>
    <row r="139" spans="1:29" ht="54.75" customHeight="1" hidden="1" thickBot="1">
      <c r="A139" s="973" t="str">
        <f>+'Result KeyFactorwise NAAC'!A25:C25</f>
        <v>1. DR. RAFIQUE MOHAMMED QURESHI, PRINCIPAL, GOVT. COLLEGE KOTA, KOTA, Mobile No. : 9414329536</v>
      </c>
      <c r="B139" s="974"/>
      <c r="C139" s="974"/>
      <c r="D139" s="975"/>
      <c r="E139" s="1143" t="str">
        <f>+'Result KeyFactorwise NAAC'!D25</f>
        <v>Team Leader</v>
      </c>
      <c r="F139" s="1144"/>
      <c r="G139" s="568"/>
      <c r="H139" s="976"/>
      <c r="I139" s="977"/>
      <c r="J139" s="977"/>
      <c r="K139" s="977"/>
      <c r="L139" s="977"/>
      <c r="M139" s="977"/>
      <c r="N139" s="977"/>
      <c r="O139" s="977"/>
      <c r="P139" s="977"/>
      <c r="Q139" s="977"/>
      <c r="R139" s="977"/>
      <c r="S139" s="977"/>
      <c r="T139" s="977"/>
      <c r="U139" s="977"/>
      <c r="V139" s="977"/>
      <c r="W139" s="977"/>
      <c r="X139" s="977"/>
      <c r="Y139" s="977"/>
      <c r="Z139" s="977"/>
      <c r="AA139" s="977"/>
      <c r="AB139" s="977"/>
      <c r="AC139" s="978"/>
    </row>
    <row r="140" spans="1:29" ht="53.25" customHeight="1" hidden="1" thickBot="1">
      <c r="A140" s="973" t="str">
        <f>+'Result KeyFactorwise NAAC'!A26:C26</f>
        <v>2. DR. CHHABI MITTAL, ASSOCIATE PROFESSOR, S.P.C. GOVT. COLLEGE AJMER, AJMER, Mobile No. : 9461190965</v>
      </c>
      <c r="B140" s="974"/>
      <c r="C140" s="974"/>
      <c r="D140" s="975"/>
      <c r="E140" s="1143" t="s">
        <v>250</v>
      </c>
      <c r="F140" s="1144"/>
      <c r="G140" s="568"/>
      <c r="H140" s="976"/>
      <c r="I140" s="977"/>
      <c r="J140" s="977"/>
      <c r="K140" s="977"/>
      <c r="L140" s="977"/>
      <c r="M140" s="977"/>
      <c r="N140" s="977"/>
      <c r="O140" s="977"/>
      <c r="P140" s="977"/>
      <c r="Q140" s="977"/>
      <c r="R140" s="977"/>
      <c r="S140" s="977"/>
      <c r="T140" s="977"/>
      <c r="U140" s="977"/>
      <c r="V140" s="977"/>
      <c r="W140" s="977"/>
      <c r="X140" s="977"/>
      <c r="Y140" s="977"/>
      <c r="Z140" s="977"/>
      <c r="AA140" s="977"/>
      <c r="AB140" s="977"/>
      <c r="AC140" s="978"/>
    </row>
    <row r="141" spans="1:29" ht="50.25" customHeight="1" hidden="1" thickBot="1">
      <c r="A141" s="973" t="str">
        <f>+'Result KeyFactorwise NAAC'!A27:C27</f>
        <v>3. DR. SUNIL KUMAR GOYAL, ASSISTANT PROFESSOR, S.P.C. GOVT. COLLEGE AJMER, AJMER, Mobile No. : 9887165968</v>
      </c>
      <c r="B141" s="974"/>
      <c r="C141" s="974"/>
      <c r="D141" s="975"/>
      <c r="E141" s="1143" t="str">
        <f>+'Result KeyFactorwise NAAC'!D27</f>
        <v>Member</v>
      </c>
      <c r="F141" s="1144"/>
      <c r="G141" s="568"/>
      <c r="H141" s="1145"/>
      <c r="I141" s="1146"/>
      <c r="J141" s="1146"/>
      <c r="K141" s="1146"/>
      <c r="L141" s="1146"/>
      <c r="M141" s="1146"/>
      <c r="N141" s="1146"/>
      <c r="O141" s="1146"/>
      <c r="P141" s="1146"/>
      <c r="Q141" s="1146"/>
      <c r="R141" s="1146"/>
      <c r="S141" s="1146"/>
      <c r="T141" s="1146"/>
      <c r="U141" s="1146"/>
      <c r="V141" s="1146"/>
      <c r="W141" s="1146"/>
      <c r="X141" s="1146"/>
      <c r="Y141" s="1146"/>
      <c r="Z141" s="1146"/>
      <c r="AA141" s="1146"/>
      <c r="AB141" s="1146"/>
      <c r="AC141" s="1147"/>
    </row>
    <row r="142" spans="1:29" ht="40.5" customHeight="1" hidden="1" thickBot="1">
      <c r="A142" s="979" t="s">
        <v>248</v>
      </c>
      <c r="B142" s="980"/>
      <c r="C142" s="980"/>
      <c r="D142" s="980"/>
      <c r="E142" s="980"/>
      <c r="F142" s="987"/>
      <c r="G142" s="570"/>
      <c r="H142" s="981"/>
      <c r="I142" s="982"/>
      <c r="J142" s="982"/>
      <c r="K142" s="982"/>
      <c r="L142" s="982"/>
      <c r="M142" s="982"/>
      <c r="N142" s="982"/>
      <c r="O142" s="982"/>
      <c r="P142" s="982"/>
      <c r="Q142" s="982"/>
      <c r="R142" s="982"/>
      <c r="S142" s="982"/>
      <c r="T142" s="982"/>
      <c r="U142" s="982"/>
      <c r="V142" s="982"/>
      <c r="W142" s="982"/>
      <c r="X142" s="982"/>
      <c r="Y142" s="982"/>
      <c r="Z142" s="982"/>
      <c r="AA142" s="982"/>
      <c r="AB142" s="982"/>
      <c r="AC142" s="983"/>
    </row>
    <row r="143" spans="1:29" ht="57.75" customHeight="1" hidden="1" thickBot="1">
      <c r="A143" s="1148" t="str">
        <f>+'Result KeyFactorwise NAAC'!A29:D29</f>
        <v>DR. L.P.MAHAWAR, Principal, SETH R.L.SAHARIA GOVT. P.G. COLLEGE KALADERA, KALADERA (JAIPUR) (16), Mobile No. : 9414280324</v>
      </c>
      <c r="B143" s="1149"/>
      <c r="C143" s="1149"/>
      <c r="D143" s="1149"/>
      <c r="E143" s="1149"/>
      <c r="F143" s="1150"/>
      <c r="G143" s="568"/>
      <c r="H143" s="1151"/>
      <c r="I143" s="1152"/>
      <c r="J143" s="1152"/>
      <c r="K143" s="1152"/>
      <c r="L143" s="1152"/>
      <c r="M143" s="1152"/>
      <c r="N143" s="1152"/>
      <c r="O143" s="1152"/>
      <c r="P143" s="1152"/>
      <c r="Q143" s="1152"/>
      <c r="R143" s="1152"/>
      <c r="S143" s="1152"/>
      <c r="T143" s="1152"/>
      <c r="U143" s="1152"/>
      <c r="V143" s="1152"/>
      <c r="W143" s="1152"/>
      <c r="X143" s="1152"/>
      <c r="Y143" s="1152"/>
      <c r="Z143" s="1152"/>
      <c r="AA143" s="1152"/>
      <c r="AB143" s="1152"/>
      <c r="AC143" s="1153"/>
    </row>
    <row r="144" spans="1:29" ht="25.5" hidden="1">
      <c r="A144" s="441"/>
      <c r="B144" s="441"/>
      <c r="C144" s="268"/>
      <c r="D144" s="270"/>
      <c r="E144" s="219"/>
      <c r="F144" s="219"/>
      <c r="G144" s="1"/>
      <c r="H144" s="1"/>
      <c r="I144" s="694"/>
      <c r="J144" s="1"/>
      <c r="K144" s="30"/>
      <c r="L144" s="30"/>
      <c r="M144" s="30"/>
      <c r="N144" s="30"/>
      <c r="O144" s="3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56"/>
      <c r="AA144" s="256"/>
      <c r="AB144" s="256"/>
      <c r="AC144" s="256"/>
    </row>
    <row r="145" spans="1:29" ht="18.75" hidden="1">
      <c r="A145" s="441"/>
      <c r="B145" s="441"/>
      <c r="C145" s="268"/>
      <c r="D145" s="270"/>
      <c r="E145" s="219"/>
      <c r="F145" s="219"/>
      <c r="G145" s="1"/>
      <c r="H145" s="1"/>
      <c r="I145" s="695"/>
      <c r="J145" s="177"/>
      <c r="K145" s="30"/>
      <c r="L145" s="30"/>
      <c r="M145" s="30"/>
      <c r="N145" s="30"/>
      <c r="O145" s="3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56"/>
      <c r="AA145" s="256"/>
      <c r="AB145" s="256"/>
      <c r="AC145" s="256"/>
    </row>
    <row r="146" spans="1:29" ht="25.5" hidden="1">
      <c r="A146" s="441"/>
      <c r="B146" s="441"/>
      <c r="C146" s="268"/>
      <c r="D146" s="270"/>
      <c r="E146" s="219"/>
      <c r="F146" s="219"/>
      <c r="G146" s="1"/>
      <c r="H146" s="1"/>
      <c r="I146" s="694"/>
      <c r="J146" s="178"/>
      <c r="K146" s="30"/>
      <c r="L146" s="30"/>
      <c r="M146" s="30"/>
      <c r="N146" s="30"/>
      <c r="O146" s="3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56"/>
      <c r="AA146" s="256"/>
      <c r="AB146" s="256"/>
      <c r="AC146" s="256"/>
    </row>
    <row r="147" spans="1:29" ht="25.5" hidden="1">
      <c r="A147" s="441"/>
      <c r="B147" s="441"/>
      <c r="C147" s="268"/>
      <c r="D147" s="270"/>
      <c r="E147" s="219"/>
      <c r="F147" s="219"/>
      <c r="G147" s="1"/>
      <c r="H147" s="1"/>
      <c r="I147" s="694"/>
      <c r="J147" s="1"/>
      <c r="K147" s="30"/>
      <c r="L147" s="30"/>
      <c r="M147" s="30"/>
      <c r="N147" s="30"/>
      <c r="O147" s="3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56"/>
      <c r="AA147" s="256"/>
      <c r="AB147" s="256"/>
      <c r="AC147" s="256"/>
    </row>
    <row r="148" spans="1:29" ht="25.5" hidden="1">
      <c r="A148" s="441"/>
      <c r="B148" s="441"/>
      <c r="C148" s="268"/>
      <c r="D148" s="270"/>
      <c r="E148" s="219"/>
      <c r="F148" s="219"/>
      <c r="G148" s="1"/>
      <c r="H148" s="1"/>
      <c r="I148" s="694"/>
      <c r="J148" s="1"/>
      <c r="K148" s="30"/>
      <c r="L148" s="30"/>
      <c r="M148" s="30"/>
      <c r="N148" s="30"/>
      <c r="O148" s="3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56"/>
      <c r="AA148" s="256"/>
      <c r="AB148" s="256"/>
      <c r="AC148" s="256"/>
    </row>
    <row r="149" spans="1:29" ht="25.5" hidden="1">
      <c r="A149" s="441"/>
      <c r="B149" s="441"/>
      <c r="C149" s="268"/>
      <c r="D149" s="270"/>
      <c r="E149" s="219"/>
      <c r="F149" s="219"/>
      <c r="G149" s="1"/>
      <c r="H149" s="1"/>
      <c r="I149" s="694"/>
      <c r="J149" s="1"/>
      <c r="K149" s="30"/>
      <c r="L149" s="30"/>
      <c r="M149" s="30"/>
      <c r="N149" s="30"/>
      <c r="O149" s="3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56"/>
      <c r="AA149" s="256"/>
      <c r="AB149" s="256"/>
      <c r="AC149" s="256"/>
    </row>
    <row r="150" spans="1:29" ht="25.5" hidden="1">
      <c r="A150" s="441"/>
      <c r="B150" s="441"/>
      <c r="C150" s="268"/>
      <c r="D150" s="270"/>
      <c r="E150" s="219"/>
      <c r="F150" s="219"/>
      <c r="G150" s="1"/>
      <c r="H150" s="1"/>
      <c r="I150" s="694"/>
      <c r="J150" s="1"/>
      <c r="K150" s="30"/>
      <c r="L150" s="30"/>
      <c r="M150" s="30"/>
      <c r="N150" s="30"/>
      <c r="O150" s="3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56"/>
      <c r="AA150" s="256"/>
      <c r="AB150" s="256"/>
      <c r="AC150" s="256"/>
    </row>
    <row r="151" spans="1:29" ht="25.5" hidden="1">
      <c r="A151" s="441"/>
      <c r="B151" s="441"/>
      <c r="C151" s="268"/>
      <c r="D151" s="270"/>
      <c r="E151" s="219"/>
      <c r="F151" s="219"/>
      <c r="G151" s="1"/>
      <c r="H151" s="1"/>
      <c r="I151" s="694"/>
      <c r="J151" s="1"/>
      <c r="K151" s="30"/>
      <c r="L151" s="30"/>
      <c r="M151" s="30"/>
      <c r="N151" s="30"/>
      <c r="O151" s="30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56"/>
      <c r="AA151" s="256"/>
      <c r="AB151" s="256"/>
      <c r="AC151" s="256"/>
    </row>
    <row r="152" spans="1:29" ht="25.5" hidden="1">
      <c r="A152" s="441"/>
      <c r="B152" s="441"/>
      <c r="C152" s="268"/>
      <c r="D152" s="270"/>
      <c r="E152" s="219"/>
      <c r="F152" s="219"/>
      <c r="G152" s="1"/>
      <c r="H152" s="1"/>
      <c r="I152" s="694"/>
      <c r="J152" s="1"/>
      <c r="K152" s="30"/>
      <c r="L152" s="30"/>
      <c r="M152" s="30"/>
      <c r="N152" s="30"/>
      <c r="O152" s="3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56"/>
      <c r="AA152" s="256"/>
      <c r="AB152" s="256"/>
      <c r="AC152" s="256"/>
    </row>
    <row r="153" spans="1:29" ht="25.5" hidden="1">
      <c r="A153" s="441"/>
      <c r="B153" s="441"/>
      <c r="C153" s="268"/>
      <c r="D153" s="270"/>
      <c r="E153" s="219"/>
      <c r="F153" s="219"/>
      <c r="G153" s="1"/>
      <c r="H153" s="1"/>
      <c r="I153" s="694"/>
      <c r="J153" s="1"/>
      <c r="K153" s="30"/>
      <c r="L153" s="30"/>
      <c r="M153" s="30"/>
      <c r="N153" s="30"/>
      <c r="O153" s="3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56"/>
      <c r="AA153" s="256"/>
      <c r="AB153" s="256"/>
      <c r="AC153" s="256"/>
    </row>
    <row r="154" spans="1:29" ht="25.5" hidden="1">
      <c r="A154" s="441"/>
      <c r="B154" s="441"/>
      <c r="C154" s="268"/>
      <c r="D154" s="270"/>
      <c r="E154" s="219"/>
      <c r="F154" s="219"/>
      <c r="G154" s="1"/>
      <c r="H154" s="1"/>
      <c r="I154" s="694"/>
      <c r="J154" s="1"/>
      <c r="K154" s="30"/>
      <c r="L154" s="30"/>
      <c r="M154" s="30"/>
      <c r="N154" s="30"/>
      <c r="O154" s="3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56"/>
      <c r="AA154" s="256"/>
      <c r="AB154" s="256"/>
      <c r="AC154" s="256"/>
    </row>
    <row r="155" spans="1:29" ht="25.5" hidden="1">
      <c r="A155" s="441"/>
      <c r="B155" s="441"/>
      <c r="C155" s="268"/>
      <c r="D155" s="270"/>
      <c r="E155" s="219"/>
      <c r="F155" s="219"/>
      <c r="G155" s="1"/>
      <c r="H155" s="1"/>
      <c r="I155" s="694"/>
      <c r="J155" s="1"/>
      <c r="K155" s="30"/>
      <c r="L155" s="30"/>
      <c r="M155" s="30"/>
      <c r="N155" s="30"/>
      <c r="O155" s="3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56"/>
      <c r="AA155" s="256"/>
      <c r="AB155" s="256"/>
      <c r="AC155" s="256"/>
    </row>
    <row r="156" spans="1:29" ht="25.5" hidden="1">
      <c r="A156" s="441"/>
      <c r="B156" s="441"/>
      <c r="C156" s="268"/>
      <c r="D156" s="270"/>
      <c r="E156" s="219"/>
      <c r="F156" s="219"/>
      <c r="G156" s="1"/>
      <c r="H156" s="1"/>
      <c r="I156" s="694"/>
      <c r="J156" s="1"/>
      <c r="K156" s="30"/>
      <c r="L156" s="30"/>
      <c r="M156" s="30"/>
      <c r="N156" s="30"/>
      <c r="O156" s="3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56"/>
      <c r="AA156" s="256"/>
      <c r="AB156" s="256"/>
      <c r="AC156" s="256"/>
    </row>
    <row r="157" spans="1:29" ht="25.5" hidden="1">
      <c r="A157" s="441"/>
      <c r="B157" s="441"/>
      <c r="C157" s="268"/>
      <c r="D157" s="270"/>
      <c r="E157" s="219"/>
      <c r="F157" s="219"/>
      <c r="G157" s="1"/>
      <c r="H157" s="1"/>
      <c r="I157" s="694"/>
      <c r="J157" s="1"/>
      <c r="K157" s="30"/>
      <c r="L157" s="30"/>
      <c r="M157" s="30"/>
      <c r="N157" s="30"/>
      <c r="O157" s="3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56"/>
      <c r="AA157" s="256"/>
      <c r="AB157" s="256"/>
      <c r="AC157" s="256"/>
    </row>
    <row r="158" spans="1:29" ht="25.5" hidden="1">
      <c r="A158" s="441"/>
      <c r="B158" s="441"/>
      <c r="C158" s="268"/>
      <c r="D158" s="270"/>
      <c r="E158" s="219"/>
      <c r="F158" s="219"/>
      <c r="G158" s="1"/>
      <c r="H158" s="1"/>
      <c r="I158" s="694"/>
      <c r="J158" s="1"/>
      <c r="K158" s="30"/>
      <c r="L158" s="30"/>
      <c r="M158" s="30"/>
      <c r="N158" s="30"/>
      <c r="O158" s="3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56"/>
      <c r="AA158" s="256"/>
      <c r="AB158" s="256"/>
      <c r="AC158" s="256"/>
    </row>
    <row r="159" spans="1:29" ht="25.5" hidden="1">
      <c r="A159" s="441"/>
      <c r="B159" s="441"/>
      <c r="C159" s="268"/>
      <c r="D159" s="270"/>
      <c r="E159" s="219"/>
      <c r="F159" s="219"/>
      <c r="G159" s="1"/>
      <c r="H159" s="1"/>
      <c r="I159" s="694"/>
      <c r="J159" s="1"/>
      <c r="K159" s="30"/>
      <c r="L159" s="30"/>
      <c r="M159" s="30"/>
      <c r="N159" s="30"/>
      <c r="O159" s="3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56"/>
      <c r="AA159" s="256"/>
      <c r="AB159" s="256"/>
      <c r="AC159" s="256"/>
    </row>
    <row r="160" spans="1:29" ht="25.5" hidden="1">
      <c r="A160" s="441"/>
      <c r="B160" s="441"/>
      <c r="C160" s="268"/>
      <c r="D160" s="270"/>
      <c r="E160" s="219"/>
      <c r="F160" s="219"/>
      <c r="G160" s="1"/>
      <c r="H160" s="1"/>
      <c r="I160" s="694"/>
      <c r="J160" s="1"/>
      <c r="K160" s="30"/>
      <c r="L160" s="30"/>
      <c r="M160" s="30"/>
      <c r="N160" s="30"/>
      <c r="O160" s="3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56"/>
      <c r="AA160" s="256"/>
      <c r="AB160" s="256"/>
      <c r="AC160" s="256"/>
    </row>
    <row r="161" spans="1:29" ht="25.5" hidden="1">
      <c r="A161" s="441"/>
      <c r="B161" s="441"/>
      <c r="C161" s="268"/>
      <c r="D161" s="270"/>
      <c r="E161" s="219"/>
      <c r="F161" s="219"/>
      <c r="G161" s="1"/>
      <c r="H161" s="1"/>
      <c r="I161" s="694"/>
      <c r="J161" s="1"/>
      <c r="K161" s="30"/>
      <c r="L161" s="30"/>
      <c r="M161" s="30"/>
      <c r="N161" s="30"/>
      <c r="O161" s="3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56"/>
      <c r="AA161" s="256"/>
      <c r="AB161" s="256"/>
      <c r="AC161" s="256"/>
    </row>
    <row r="162" spans="1:29" ht="25.5" hidden="1">
      <c r="A162" s="441"/>
      <c r="B162" s="441"/>
      <c r="C162" s="268"/>
      <c r="D162" s="270"/>
      <c r="E162" s="219"/>
      <c r="F162" s="219"/>
      <c r="G162" s="1"/>
      <c r="H162" s="1"/>
      <c r="I162" s="694"/>
      <c r="J162" s="1"/>
      <c r="K162" s="30"/>
      <c r="L162" s="30"/>
      <c r="M162" s="30"/>
      <c r="N162" s="30"/>
      <c r="O162" s="3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56"/>
      <c r="AA162" s="256"/>
      <c r="AB162" s="256"/>
      <c r="AC162" s="256"/>
    </row>
    <row r="163" spans="1:29" ht="25.5" hidden="1">
      <c r="A163" s="441"/>
      <c r="B163" s="441"/>
      <c r="C163" s="268"/>
      <c r="D163" s="270"/>
      <c r="E163" s="219"/>
      <c r="F163" s="219"/>
      <c r="G163" s="1"/>
      <c r="H163" s="1"/>
      <c r="I163" s="694"/>
      <c r="J163" s="1"/>
      <c r="K163" s="30"/>
      <c r="L163" s="30"/>
      <c r="M163" s="30"/>
      <c r="N163" s="30"/>
      <c r="O163" s="3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56"/>
      <c r="AA163" s="256"/>
      <c r="AB163" s="256"/>
      <c r="AC163" s="256"/>
    </row>
    <row r="164" spans="1:29" ht="25.5" hidden="1">
      <c r="A164" s="441"/>
      <c r="B164" s="441"/>
      <c r="C164" s="268"/>
      <c r="D164" s="270"/>
      <c r="E164" s="219"/>
      <c r="F164" s="219"/>
      <c r="G164" s="1"/>
      <c r="H164" s="1"/>
      <c r="I164" s="694"/>
      <c r="J164" s="1"/>
      <c r="K164" s="30"/>
      <c r="L164" s="30"/>
      <c r="M164" s="30"/>
      <c r="N164" s="30"/>
      <c r="O164" s="3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56"/>
      <c r="AA164" s="256"/>
      <c r="AB164" s="256"/>
      <c r="AC164" s="256"/>
    </row>
    <row r="165" spans="1:29" ht="25.5" hidden="1">
      <c r="A165" s="441"/>
      <c r="B165" s="441"/>
      <c r="C165" s="268"/>
      <c r="D165" s="270"/>
      <c r="E165" s="219"/>
      <c r="F165" s="219"/>
      <c r="G165" s="1"/>
      <c r="H165" s="1"/>
      <c r="I165" s="694"/>
      <c r="J165" s="1"/>
      <c r="K165" s="30"/>
      <c r="L165" s="30"/>
      <c r="M165" s="30"/>
      <c r="N165" s="30"/>
      <c r="O165" s="3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56"/>
      <c r="AA165" s="256"/>
      <c r="AB165" s="256"/>
      <c r="AC165" s="256"/>
    </row>
    <row r="166" spans="1:29" ht="25.5" hidden="1">
      <c r="A166" s="441"/>
      <c r="B166" s="441"/>
      <c r="C166" s="268"/>
      <c r="D166" s="270"/>
      <c r="E166" s="219"/>
      <c r="F166" s="219"/>
      <c r="G166" s="1"/>
      <c r="H166" s="1"/>
      <c r="I166" s="694"/>
      <c r="J166" s="1"/>
      <c r="K166" s="30"/>
      <c r="L166" s="30"/>
      <c r="M166" s="30"/>
      <c r="N166" s="30"/>
      <c r="O166" s="3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56"/>
      <c r="AA166" s="256"/>
      <c r="AB166" s="256"/>
      <c r="AC166" s="256"/>
    </row>
    <row r="167" spans="1:29" ht="25.5" hidden="1">
      <c r="A167" s="441"/>
      <c r="B167" s="441"/>
      <c r="C167" s="268"/>
      <c r="D167" s="270"/>
      <c r="E167" s="219"/>
      <c r="F167" s="219"/>
      <c r="G167" s="1"/>
      <c r="H167" s="1"/>
      <c r="I167" s="694"/>
      <c r="J167" s="1"/>
      <c r="K167" s="30"/>
      <c r="L167" s="30"/>
      <c r="M167" s="30"/>
      <c r="N167" s="30"/>
      <c r="O167" s="3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56"/>
      <c r="AA167" s="256"/>
      <c r="AB167" s="256"/>
      <c r="AC167" s="256"/>
    </row>
    <row r="168" spans="1:29" ht="25.5" hidden="1">
      <c r="A168" s="441"/>
      <c r="B168" s="441"/>
      <c r="C168" s="268"/>
      <c r="D168" s="270"/>
      <c r="E168" s="219"/>
      <c r="F168" s="219"/>
      <c r="G168" s="1"/>
      <c r="H168" s="1"/>
      <c r="I168" s="694"/>
      <c r="J168" s="1"/>
      <c r="K168" s="30"/>
      <c r="L168" s="30"/>
      <c r="M168" s="30"/>
      <c r="N168" s="30"/>
      <c r="O168" s="3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56"/>
      <c r="AA168" s="256"/>
      <c r="AB168" s="256"/>
      <c r="AC168" s="256"/>
    </row>
    <row r="169" spans="1:29" ht="25.5" hidden="1">
      <c r="A169" s="441"/>
      <c r="B169" s="441"/>
      <c r="C169" s="268"/>
      <c r="D169" s="270"/>
      <c r="E169" s="219"/>
      <c r="F169" s="219"/>
      <c r="G169" s="1"/>
      <c r="H169" s="1"/>
      <c r="I169" s="694"/>
      <c r="J169" s="1"/>
      <c r="K169" s="30"/>
      <c r="L169" s="30"/>
      <c r="M169" s="30"/>
      <c r="N169" s="30"/>
      <c r="O169" s="3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56"/>
      <c r="AA169" s="256"/>
      <c r="AB169" s="256"/>
      <c r="AC169" s="256"/>
    </row>
    <row r="170" spans="1:29" ht="25.5" hidden="1">
      <c r="A170" s="441"/>
      <c r="B170" s="441"/>
      <c r="C170" s="268"/>
      <c r="D170" s="270"/>
      <c r="E170" s="219"/>
      <c r="F170" s="219"/>
      <c r="G170" s="1"/>
      <c r="H170" s="1"/>
      <c r="I170" s="694"/>
      <c r="J170" s="1"/>
      <c r="K170" s="30"/>
      <c r="L170" s="30"/>
      <c r="M170" s="30"/>
      <c r="N170" s="30"/>
      <c r="O170" s="3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56"/>
      <c r="AA170" s="256"/>
      <c r="AB170" s="256"/>
      <c r="AC170" s="256"/>
    </row>
    <row r="171" spans="1:29" ht="25.5" hidden="1">
      <c r="A171" s="441"/>
      <c r="B171" s="441"/>
      <c r="C171" s="268"/>
      <c r="D171" s="270"/>
      <c r="E171" s="219"/>
      <c r="F171" s="219"/>
      <c r="G171" s="1"/>
      <c r="H171" s="1"/>
      <c r="I171" s="694"/>
      <c r="J171" s="1"/>
      <c r="K171" s="30"/>
      <c r="L171" s="30"/>
      <c r="M171" s="30"/>
      <c r="N171" s="30"/>
      <c r="O171" s="3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56"/>
      <c r="AA171" s="256"/>
      <c r="AB171" s="256"/>
      <c r="AC171" s="256"/>
    </row>
    <row r="172" spans="1:29" ht="25.5" hidden="1">
      <c r="A172" s="441"/>
      <c r="B172" s="441"/>
      <c r="C172" s="268"/>
      <c r="D172" s="270"/>
      <c r="E172" s="219"/>
      <c r="F172" s="219"/>
      <c r="G172" s="1"/>
      <c r="H172" s="1"/>
      <c r="I172" s="694"/>
      <c r="J172" s="1"/>
      <c r="K172" s="30"/>
      <c r="L172" s="30"/>
      <c r="M172" s="30"/>
      <c r="N172" s="30"/>
      <c r="O172" s="3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56"/>
      <c r="AA172" s="256"/>
      <c r="AB172" s="256"/>
      <c r="AC172" s="256"/>
    </row>
    <row r="173" spans="1:29" ht="25.5" hidden="1">
      <c r="A173" s="441"/>
      <c r="B173" s="441"/>
      <c r="C173" s="268"/>
      <c r="D173" s="270"/>
      <c r="E173" s="219"/>
      <c r="F173" s="219"/>
      <c r="G173" s="1"/>
      <c r="H173" s="1"/>
      <c r="I173" s="694"/>
      <c r="J173" s="1"/>
      <c r="K173" s="30"/>
      <c r="L173" s="30"/>
      <c r="M173" s="30"/>
      <c r="N173" s="30"/>
      <c r="O173" s="3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56"/>
      <c r="AA173" s="256"/>
      <c r="AB173" s="256"/>
      <c r="AC173" s="256"/>
    </row>
    <row r="174" spans="11:15" ht="25.5" hidden="1">
      <c r="K174" s="31"/>
      <c r="L174" s="31"/>
      <c r="M174" s="31"/>
      <c r="N174" s="31"/>
      <c r="O174" s="31"/>
    </row>
    <row r="175" spans="11:15" ht="25.5" hidden="1">
      <c r="K175" s="31"/>
      <c r="L175" s="31"/>
      <c r="M175" s="31"/>
      <c r="N175" s="31"/>
      <c r="O175" s="31"/>
    </row>
    <row r="176" spans="11:15" ht="25.5" hidden="1">
      <c r="K176" s="31"/>
      <c r="L176" s="31"/>
      <c r="M176" s="31"/>
      <c r="N176" s="31"/>
      <c r="O176" s="31"/>
    </row>
    <row r="177" spans="11:15" ht="25.5" hidden="1">
      <c r="K177" s="31"/>
      <c r="L177" s="31"/>
      <c r="M177" s="31"/>
      <c r="N177" s="31"/>
      <c r="O177" s="31"/>
    </row>
    <row r="178" spans="11:15" ht="25.5" hidden="1">
      <c r="K178" s="31"/>
      <c r="L178" s="31"/>
      <c r="M178" s="31"/>
      <c r="N178" s="31"/>
      <c r="O178" s="31"/>
    </row>
    <row r="179" spans="11:15" ht="25.5" hidden="1">
      <c r="K179" s="31"/>
      <c r="L179" s="31"/>
      <c r="M179" s="31"/>
      <c r="N179" s="31"/>
      <c r="O179" s="31"/>
    </row>
    <row r="180" spans="11:15" ht="25.5" hidden="1">
      <c r="K180" s="31"/>
      <c r="L180" s="31"/>
      <c r="M180" s="31"/>
      <c r="N180" s="31"/>
      <c r="O180" s="31"/>
    </row>
    <row r="181" spans="11:15" ht="25.5" hidden="1">
      <c r="K181" s="31"/>
      <c r="L181" s="31"/>
      <c r="M181" s="31"/>
      <c r="N181" s="31"/>
      <c r="O181" s="31"/>
    </row>
    <row r="182" spans="11:15" ht="25.5" hidden="1">
      <c r="K182" s="31"/>
      <c r="L182" s="31"/>
      <c r="M182" s="31"/>
      <c r="N182" s="31"/>
      <c r="O182" s="31"/>
    </row>
    <row r="183" spans="11:15" ht="25.5" hidden="1">
      <c r="K183" s="31"/>
      <c r="L183" s="31"/>
      <c r="M183" s="31"/>
      <c r="N183" s="31"/>
      <c r="O183" s="31"/>
    </row>
    <row r="184" spans="11:15" ht="25.5" hidden="1">
      <c r="K184" s="31"/>
      <c r="L184" s="31"/>
      <c r="M184" s="31"/>
      <c r="N184" s="31"/>
      <c r="O184" s="31"/>
    </row>
    <row r="185" spans="11:15" ht="25.5" hidden="1">
      <c r="K185" s="31"/>
      <c r="L185" s="31"/>
      <c r="M185" s="31"/>
      <c r="N185" s="31"/>
      <c r="O185" s="31"/>
    </row>
    <row r="186" spans="11:15" ht="25.5" hidden="1">
      <c r="K186" s="31"/>
      <c r="L186" s="31"/>
      <c r="M186" s="31"/>
      <c r="N186" s="31"/>
      <c r="O186" s="31"/>
    </row>
    <row r="187" spans="11:15" ht="25.5" hidden="1">
      <c r="K187" s="31"/>
      <c r="L187" s="31"/>
      <c r="M187" s="31"/>
      <c r="N187" s="31"/>
      <c r="O187" s="31"/>
    </row>
    <row r="188" spans="11:15" ht="25.5" hidden="1">
      <c r="K188" s="31"/>
      <c r="L188" s="31"/>
      <c r="M188" s="31"/>
      <c r="N188" s="31"/>
      <c r="O188" s="31"/>
    </row>
    <row r="189" spans="11:15" ht="25.5" hidden="1">
      <c r="K189" s="31"/>
      <c r="L189" s="31"/>
      <c r="M189" s="31"/>
      <c r="N189" s="31"/>
      <c r="O189" s="31"/>
    </row>
    <row r="190" spans="11:15" ht="25.5" hidden="1">
      <c r="K190" s="31"/>
      <c r="L190" s="31"/>
      <c r="M190" s="31"/>
      <c r="N190" s="31"/>
      <c r="O190" s="31"/>
    </row>
    <row r="191" spans="11:15" ht="25.5" hidden="1">
      <c r="K191" s="31"/>
      <c r="L191" s="31"/>
      <c r="M191" s="31"/>
      <c r="N191" s="31"/>
      <c r="O191" s="31"/>
    </row>
  </sheetData>
  <sheetProtection password="EAF4" sheet="1" objects="1" scenarios="1" selectLockedCells="1"/>
  <mergeCells count="292">
    <mergeCell ref="A1:AC1"/>
    <mergeCell ref="AD1:AG1"/>
    <mergeCell ref="AH1:AH2"/>
    <mergeCell ref="AI1:AI4"/>
    <mergeCell ref="A2:AC2"/>
    <mergeCell ref="AD2:AG2"/>
    <mergeCell ref="A3:AC3"/>
    <mergeCell ref="AD3:AG4"/>
    <mergeCell ref="AH3:AH4"/>
    <mergeCell ref="A4:AC4"/>
    <mergeCell ref="A5:A6"/>
    <mergeCell ref="B5:B6"/>
    <mergeCell ref="C5:C6"/>
    <mergeCell ref="D5:D6"/>
    <mergeCell ref="E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X5"/>
    <mergeCell ref="AA5:AC6"/>
    <mergeCell ref="AD5:AD6"/>
    <mergeCell ref="AE5:AE6"/>
    <mergeCell ref="AG17:AZ17"/>
    <mergeCell ref="AF5:AF6"/>
    <mergeCell ref="AG5:AZ6"/>
    <mergeCell ref="BA5:BA6"/>
    <mergeCell ref="P6:Q6"/>
    <mergeCell ref="R6:S6"/>
    <mergeCell ref="T6:U6"/>
    <mergeCell ref="V6:W6"/>
    <mergeCell ref="X6:Y6"/>
    <mergeCell ref="A7:A17"/>
    <mergeCell ref="B7:B8"/>
    <mergeCell ref="AG7:AZ7"/>
    <mergeCell ref="AG8:AZ8"/>
    <mergeCell ref="B9:B17"/>
    <mergeCell ref="C9:C10"/>
    <mergeCell ref="I9:I10"/>
    <mergeCell ref="AG9:AZ9"/>
    <mergeCell ref="E10:F10"/>
    <mergeCell ref="AG10:AZ10"/>
    <mergeCell ref="AG11:AZ11"/>
    <mergeCell ref="AG12:AZ12"/>
    <mergeCell ref="AG13:AZ13"/>
    <mergeCell ref="AG14:AZ14"/>
    <mergeCell ref="AG15:AZ15"/>
    <mergeCell ref="AG16:AZ16"/>
    <mergeCell ref="A18:A27"/>
    <mergeCell ref="B18:B19"/>
    <mergeCell ref="AG18:AZ18"/>
    <mergeCell ref="AG19:AZ19"/>
    <mergeCell ref="B20:B25"/>
    <mergeCell ref="E20:F20"/>
    <mergeCell ref="AG20:AZ20"/>
    <mergeCell ref="E21:F21"/>
    <mergeCell ref="AG21:AZ21"/>
    <mergeCell ref="AG34:AZ34"/>
    <mergeCell ref="B35:B37"/>
    <mergeCell ref="AG35:AZ35"/>
    <mergeCell ref="AG36:AZ36"/>
    <mergeCell ref="AG37:AZ37"/>
    <mergeCell ref="B26:B27"/>
    <mergeCell ref="AG26:AZ26"/>
    <mergeCell ref="AG27:AZ27"/>
    <mergeCell ref="E22:F22"/>
    <mergeCell ref="AG22:AZ22"/>
    <mergeCell ref="E23:F23"/>
    <mergeCell ref="AG23:AZ23"/>
    <mergeCell ref="AG24:AZ24"/>
    <mergeCell ref="AG25:AZ25"/>
    <mergeCell ref="E50:F50"/>
    <mergeCell ref="AG50:AZ50"/>
    <mergeCell ref="A28:A37"/>
    <mergeCell ref="B28:B34"/>
    <mergeCell ref="AG28:AZ28"/>
    <mergeCell ref="AG29:AZ29"/>
    <mergeCell ref="AG30:AZ30"/>
    <mergeCell ref="AG31:AZ31"/>
    <mergeCell ref="AG32:AZ32"/>
    <mergeCell ref="AG33:AZ33"/>
    <mergeCell ref="A38:A45"/>
    <mergeCell ref="B38:B45"/>
    <mergeCell ref="AG38:AZ38"/>
    <mergeCell ref="AG39:AZ39"/>
    <mergeCell ref="AG40:AZ40"/>
    <mergeCell ref="AG41:AZ41"/>
    <mergeCell ref="AG42:AZ42"/>
    <mergeCell ref="AG43:AZ43"/>
    <mergeCell ref="E44:F44"/>
    <mergeCell ref="AG44:AZ44"/>
    <mergeCell ref="E45:F45"/>
    <mergeCell ref="AG45:AZ45"/>
    <mergeCell ref="A46:A50"/>
    <mergeCell ref="B46:B47"/>
    <mergeCell ref="AG46:AZ46"/>
    <mergeCell ref="E47:F47"/>
    <mergeCell ref="AG47:AZ47"/>
    <mergeCell ref="B48:B50"/>
    <mergeCell ref="AG48:AZ48"/>
    <mergeCell ref="AG49:AZ49"/>
    <mergeCell ref="A51:A54"/>
    <mergeCell ref="B51:B54"/>
    <mergeCell ref="E51:F51"/>
    <mergeCell ref="AG51:AZ51"/>
    <mergeCell ref="AG52:AZ52"/>
    <mergeCell ref="AG53:AZ53"/>
    <mergeCell ref="AG54:AZ54"/>
    <mergeCell ref="AG58:AZ58"/>
    <mergeCell ref="E59:F59"/>
    <mergeCell ref="AG59:AZ59"/>
    <mergeCell ref="AG60:AZ60"/>
    <mergeCell ref="E65:F65"/>
    <mergeCell ref="AG65:AZ65"/>
    <mergeCell ref="AG61:AZ61"/>
    <mergeCell ref="E62:F62"/>
    <mergeCell ref="AG62:AZ62"/>
    <mergeCell ref="E63:F63"/>
    <mergeCell ref="AG63:AZ63"/>
    <mergeCell ref="E64:F64"/>
    <mergeCell ref="AG64:AZ64"/>
    <mergeCell ref="A55:A65"/>
    <mergeCell ref="B55:B65"/>
    <mergeCell ref="AG55:AZ55"/>
    <mergeCell ref="AG56:AZ56"/>
    <mergeCell ref="AG57:AZ57"/>
    <mergeCell ref="E58:F58"/>
    <mergeCell ref="AG70:AZ70"/>
    <mergeCell ref="E71:F71"/>
    <mergeCell ref="AG71:AZ71"/>
    <mergeCell ref="B72:B74"/>
    <mergeCell ref="AG72:AZ72"/>
    <mergeCell ref="AG73:AZ73"/>
    <mergeCell ref="E74:F74"/>
    <mergeCell ref="AG74:AZ74"/>
    <mergeCell ref="A66:A74"/>
    <mergeCell ref="B66:B71"/>
    <mergeCell ref="E66:F66"/>
    <mergeCell ref="AG66:AZ66"/>
    <mergeCell ref="E67:F67"/>
    <mergeCell ref="AG67:AZ67"/>
    <mergeCell ref="E68:F68"/>
    <mergeCell ref="AG68:AZ68"/>
    <mergeCell ref="E69:F69"/>
    <mergeCell ref="AG69:AZ69"/>
    <mergeCell ref="A75:A84"/>
    <mergeCell ref="B75:B84"/>
    <mergeCell ref="E75:F75"/>
    <mergeCell ref="AG75:AZ75"/>
    <mergeCell ref="E76:F76"/>
    <mergeCell ref="AG76:AZ76"/>
    <mergeCell ref="E77:F77"/>
    <mergeCell ref="AG77:AZ77"/>
    <mergeCell ref="AG78:AZ78"/>
    <mergeCell ref="AG79:AZ79"/>
    <mergeCell ref="AG91:AZ91"/>
    <mergeCell ref="E80:F80"/>
    <mergeCell ref="AG80:AZ80"/>
    <mergeCell ref="AG81:AZ81"/>
    <mergeCell ref="E82:F82"/>
    <mergeCell ref="AG82:AZ82"/>
    <mergeCell ref="E83:F83"/>
    <mergeCell ref="AG83:AZ83"/>
    <mergeCell ref="AG84:AZ84"/>
    <mergeCell ref="AG92:AZ92"/>
    <mergeCell ref="E93:F93"/>
    <mergeCell ref="AG93:AZ93"/>
    <mergeCell ref="E94:F94"/>
    <mergeCell ref="AG94:AZ94"/>
    <mergeCell ref="E89:F89"/>
    <mergeCell ref="AG89:AZ89"/>
    <mergeCell ref="E90:F90"/>
    <mergeCell ref="AG90:AZ90"/>
    <mergeCell ref="E91:F91"/>
    <mergeCell ref="A85:A94"/>
    <mergeCell ref="B85:B94"/>
    <mergeCell ref="AG85:AZ85"/>
    <mergeCell ref="E86:F86"/>
    <mergeCell ref="AG86:AZ86"/>
    <mergeCell ref="E87:F87"/>
    <mergeCell ref="AG87:AZ87"/>
    <mergeCell ref="E88:F88"/>
    <mergeCell ref="AG88:AZ88"/>
    <mergeCell ref="E92:F92"/>
    <mergeCell ref="A95:A105"/>
    <mergeCell ref="B95:B105"/>
    <mergeCell ref="E95:F95"/>
    <mergeCell ref="AG95:AZ95"/>
    <mergeCell ref="E96:F96"/>
    <mergeCell ref="AG96:AZ96"/>
    <mergeCell ref="AG97:AZ97"/>
    <mergeCell ref="E98:F98"/>
    <mergeCell ref="AG98:AZ98"/>
    <mergeCell ref="E99:F99"/>
    <mergeCell ref="AG99:AZ99"/>
    <mergeCell ref="E100:F100"/>
    <mergeCell ref="AG100:AZ100"/>
    <mergeCell ref="E101:F101"/>
    <mergeCell ref="AG101:AZ101"/>
    <mergeCell ref="E102:F102"/>
    <mergeCell ref="AG102:AZ102"/>
    <mergeCell ref="E103:F103"/>
    <mergeCell ref="AG103:AZ103"/>
    <mergeCell ref="E104:F104"/>
    <mergeCell ref="AG104:AZ104"/>
    <mergeCell ref="E105:F105"/>
    <mergeCell ref="AG105:AZ105"/>
    <mergeCell ref="E112:F112"/>
    <mergeCell ref="AG112:AZ112"/>
    <mergeCell ref="A106:A107"/>
    <mergeCell ref="B106:B107"/>
    <mergeCell ref="E106:F106"/>
    <mergeCell ref="AG106:AZ106"/>
    <mergeCell ref="E107:F107"/>
    <mergeCell ref="AG107:AZ107"/>
    <mergeCell ref="AG114:AZ114"/>
    <mergeCell ref="E115:F115"/>
    <mergeCell ref="AG115:AZ115"/>
    <mergeCell ref="A108:A112"/>
    <mergeCell ref="B108:B111"/>
    <mergeCell ref="AG108:AZ108"/>
    <mergeCell ref="AG109:AZ109"/>
    <mergeCell ref="AG110:AZ110"/>
    <mergeCell ref="E111:F111"/>
    <mergeCell ref="AG111:AZ111"/>
    <mergeCell ref="B124:B126"/>
    <mergeCell ref="E124:F124"/>
    <mergeCell ref="AG124:AZ124"/>
    <mergeCell ref="AG125:AZ125"/>
    <mergeCell ref="AG126:AZ126"/>
    <mergeCell ref="A113:A115"/>
    <mergeCell ref="B113:B115"/>
    <mergeCell ref="E113:F113"/>
    <mergeCell ref="AG113:AZ113"/>
    <mergeCell ref="E114:F114"/>
    <mergeCell ref="A116:A126"/>
    <mergeCell ref="B116:B123"/>
    <mergeCell ref="E116:F116"/>
    <mergeCell ref="AG116:AZ116"/>
    <mergeCell ref="E117:F117"/>
    <mergeCell ref="AG117:AZ117"/>
    <mergeCell ref="E118:F118"/>
    <mergeCell ref="AG118:AZ118"/>
    <mergeCell ref="E119:F119"/>
    <mergeCell ref="AG119:AZ119"/>
    <mergeCell ref="AG134:AZ134"/>
    <mergeCell ref="E120:F120"/>
    <mergeCell ref="AG120:AZ120"/>
    <mergeCell ref="AG121:AZ121"/>
    <mergeCell ref="E122:F122"/>
    <mergeCell ref="AG122:AZ122"/>
    <mergeCell ref="E123:F123"/>
    <mergeCell ref="AG123:AZ123"/>
    <mergeCell ref="AG136:AZ136"/>
    <mergeCell ref="E137:F137"/>
    <mergeCell ref="AG137:AZ137"/>
    <mergeCell ref="E130:F130"/>
    <mergeCell ref="AG130:AZ130"/>
    <mergeCell ref="AG131:AZ131"/>
    <mergeCell ref="AG132:AZ132"/>
    <mergeCell ref="E133:F133"/>
    <mergeCell ref="AG133:AZ133"/>
    <mergeCell ref="E134:F134"/>
    <mergeCell ref="A127:A137"/>
    <mergeCell ref="B127:B131"/>
    <mergeCell ref="AG127:AZ127"/>
    <mergeCell ref="AG128:AZ128"/>
    <mergeCell ref="AG129:AZ129"/>
    <mergeCell ref="B132:B137"/>
    <mergeCell ref="E132:F132"/>
    <mergeCell ref="E135:F135"/>
    <mergeCell ref="AG135:AZ135"/>
    <mergeCell ref="E136:F136"/>
    <mergeCell ref="A138:AC138"/>
    <mergeCell ref="A139:D139"/>
    <mergeCell ref="E139:F139"/>
    <mergeCell ref="H139:AC139"/>
    <mergeCell ref="A140:D140"/>
    <mergeCell ref="E140:F140"/>
    <mergeCell ref="H140:AC140"/>
    <mergeCell ref="A141:D141"/>
    <mergeCell ref="E141:F141"/>
    <mergeCell ref="H141:AC141"/>
    <mergeCell ref="A142:F142"/>
    <mergeCell ref="H142:AC142"/>
    <mergeCell ref="A143:F143"/>
    <mergeCell ref="H143:AC143"/>
  </mergeCells>
  <conditionalFormatting sqref="F9 F11:F19">
    <cfRule type="cellIs" priority="24" dxfId="139" operator="equal">
      <formula>0</formula>
    </cfRule>
  </conditionalFormatting>
  <conditionalFormatting sqref="F24">
    <cfRule type="cellIs" priority="23" dxfId="140" operator="equal">
      <formula>0</formula>
    </cfRule>
  </conditionalFormatting>
  <conditionalFormatting sqref="E27:F34 F38:F43">
    <cfRule type="cellIs" priority="22" dxfId="141" operator="equal">
      <formula>0</formula>
    </cfRule>
  </conditionalFormatting>
  <conditionalFormatting sqref="F36:F37">
    <cfRule type="cellIs" priority="21" dxfId="154" operator="equal">
      <formula>0</formula>
    </cfRule>
  </conditionalFormatting>
  <conditionalFormatting sqref="E38:F47">
    <cfRule type="cellIs" priority="20" dxfId="142" operator="equal">
      <formula>0</formula>
    </cfRule>
  </conditionalFormatting>
  <conditionalFormatting sqref="E48:F50">
    <cfRule type="cellIs" priority="19" dxfId="134" operator="equal">
      <formula>0</formula>
    </cfRule>
  </conditionalFormatting>
  <conditionalFormatting sqref="E51:F71">
    <cfRule type="cellIs" priority="18" dxfId="143" operator="equal">
      <formula>0</formula>
    </cfRule>
  </conditionalFormatting>
  <conditionalFormatting sqref="E75:F84">
    <cfRule type="cellIs" priority="17" dxfId="144" operator="equal">
      <formula>0</formula>
    </cfRule>
  </conditionalFormatting>
  <conditionalFormatting sqref="E85:F107">
    <cfRule type="cellIs" priority="16" dxfId="145" operator="equal">
      <formula>0</formula>
    </cfRule>
  </conditionalFormatting>
  <conditionalFormatting sqref="F121">
    <cfRule type="cellIs" priority="15" dxfId="138" operator="equal">
      <formula>0</formula>
    </cfRule>
  </conditionalFormatting>
  <conditionalFormatting sqref="E125:F131">
    <cfRule type="cellIs" priority="14" dxfId="146" operator="equal">
      <formula>0</formula>
    </cfRule>
  </conditionalFormatting>
  <conditionalFormatting sqref="F109:F110">
    <cfRule type="cellIs" priority="13" dxfId="147" operator="equal">
      <formula>0</formula>
    </cfRule>
  </conditionalFormatting>
  <conditionalFormatting sqref="BA7 BA9 BA11:BA19 BA24:BA30 BA34:BA43 BA46 BA48:BA49 BA55 BA57 BA60 BA72:BA73 BA78 BA85 BA97 BA108 BA121 BA125:BA129 BA131">
    <cfRule type="cellIs" priority="12" dxfId="148" operator="equal">
      <formula>"ERROR INPUT"</formula>
    </cfRule>
  </conditionalFormatting>
  <conditionalFormatting sqref="F46">
    <cfRule type="cellIs" priority="10" dxfId="149" operator="equal">
      <formula>0</formula>
    </cfRule>
    <cfRule type="cellIs" priority="11" dxfId="141" operator="equal">
      <formula>0</formula>
    </cfRule>
  </conditionalFormatting>
  <conditionalFormatting sqref="F48:F49">
    <cfRule type="cellIs" priority="8" dxfId="150" operator="equal">
      <formula>0</formula>
    </cfRule>
    <cfRule type="cellIs" priority="9" dxfId="141" operator="equal">
      <formula>0</formula>
    </cfRule>
  </conditionalFormatting>
  <conditionalFormatting sqref="F38:F43">
    <cfRule type="cellIs" priority="7" dxfId="149" operator="equal">
      <formula>0</formula>
    </cfRule>
  </conditionalFormatting>
  <conditionalFormatting sqref="AE7:AE138">
    <cfRule type="cellIs" priority="5" dxfId="151" operator="equal">
      <formula>"Physically Verified"</formula>
    </cfRule>
    <cfRule type="cellIs" priority="6" dxfId="126" operator="equal">
      <formula>"NOT VERIFIED"</formula>
    </cfRule>
  </conditionalFormatting>
  <conditionalFormatting sqref="AE8:AE138">
    <cfRule type="cellIs" priority="3" dxfId="151" operator="equal">
      <formula>"Physically Checked"</formula>
    </cfRule>
    <cfRule type="cellIs" priority="4" dxfId="126" operator="equal">
      <formula>"NOT VERIFIED"</formula>
    </cfRule>
  </conditionalFormatting>
  <conditionalFormatting sqref="AD7:AD137">
    <cfRule type="cellIs" priority="2" dxfId="152" operator="equal">
      <formula>"YES"</formula>
    </cfRule>
  </conditionalFormatting>
  <conditionalFormatting sqref="AE7:AE138">
    <cfRule type="cellIs" priority="1" dxfId="153" operator="equal">
      <formula>"Document Verified"</formula>
    </cfRule>
  </conditionalFormatting>
  <dataValidations count="92">
    <dataValidation allowBlank="1" showInputMessage="1" showErrorMessage="1" prompt="Number of Regular Students of UG-Final and PG-Final who GOT 75% AND MORE LAST YEAR." sqref="E37"/>
    <dataValidation allowBlank="1" showInputMessage="1" showErrorMessage="1" prompt="Total Regular Students of UG - final and PG - final who APPEARED in EXAM LAST YEAR" sqref="F35:F37"/>
    <dataValidation type="list" allowBlank="1" showInputMessage="1" showErrorMessage="1" prompt="Includes offline / online transperent with anonymity of student feedback system. Action taken report on Feed back suggestion." sqref="E122:F122">
      <formula1>"YES,NO"</formula1>
    </dataValidation>
    <dataValidation type="list" allowBlank="1" showInputMessage="1" showErrorMessage="1" prompt="Includes activites which are student centric, related to institutional / faculty development or has some social relevance.  (NOT TO INCLUDE activites covered under NSS, Rangering, YDC and regular programe)" sqref="E120:F120">
      <formula1>"Yes, No"</formula1>
    </dataValidation>
    <dataValidation type="whole" allowBlank="1" showInputMessage="1" showErrorMessage="1" prompt="Includes partiicipation in Orientation, Refresher Course, Faculty Development Programe and Organising FDP during current session" sqref="E117:F117">
      <formula1>0</formula1>
      <formula2>100000000</formula2>
    </dataValidation>
    <dataValidation type="whole" allowBlank="1" showInputMessage="1" showErrorMessage="1" prompt="Inludes Plantation, Use of electric vehicle, NO-Vehicle initiative, Water harvesting, solar power, No Plastic Use etc activites" sqref="E113:F113">
      <formula1>0</formula1>
      <formula2>100000000</formula2>
    </dataValidation>
    <dataValidation type="whole" allowBlank="1" showInputMessage="1" showErrorMessage="1" prompt="From Bhamashah, MLS, MP in Cash / Bank / Product / Service / Infrastructre ertc" sqref="E112:F112">
      <formula1>0</formula1>
      <formula2>100000000</formula2>
    </dataValidation>
    <dataValidation allowBlank="1" showInputMessage="1" showErrorMessage="1" prompt="Total Grants Sanctioned (UGC, RUSA etc)." sqref="F108"/>
    <dataValidation type="list" allowBlank="1" showInputMessage="1" showErrorMessage="1" sqref="AE7:AE142">
      <formula1>"Physically Verified,Document Verified,NOT VERIFIED"</formula1>
    </dataValidation>
    <dataValidation allowBlank="1" showInputMessage="1" showErrorMessage="1" prompt="Total Strength of Students of UG including SFS papers." sqref="F131"/>
    <dataValidation allowBlank="1" showInputMessage="1" showErrorMessage="1" prompt="Total Number of Admitted Students in UG-3, UG-2, PG-F, PG-P who are eligible for RSLDC courses." sqref="F25"/>
    <dataValidation allowBlank="1" showInputMessage="1" showErrorMessage="1" prompt="Total Applications received for admission in UG-1 and PG-P including SFS" sqref="E8"/>
    <dataValidation allowBlank="1" showInputMessage="1" showErrorMessage="1" prompt="Average  No. of Copies of News Paper Subscribed per month" sqref="E81"/>
    <dataValidation type="list" allowBlank="1" showInputMessage="1" showErrorMessage="1" prompt="NO Pendency, YES Pendency" sqref="E124:F124">
      <formula1>"No Pendency, Yes Pendency"</formula1>
    </dataValidation>
    <dataValidation type="list" allowBlank="1" showInputMessage="1" showErrorMessage="1" prompt="YES or NO" sqref="E10:F10 E51:F51 E58:F59 E63:F67 E69:F69 E71:F71 E74:F77 E82:F82 E86:F87 E92:F94 E96:F96 E98:F107 E123:F123">
      <formula1>"YES,NO"</formula1>
    </dataValidation>
    <dataValidation allowBlank="1" showInputMessage="1" showErrorMessage="1" prompt="Total Toilets for Female Students" sqref="F57"/>
    <dataValidation allowBlank="1" showInputMessage="1" showErrorMessage="1" prompt="Total Toilets for Male Students" sqref="F56"/>
    <dataValidation allowBlank="1" showInputMessage="1" showErrorMessage="1" prompt="Number of LECTURERS awarded PDF OR D.LIT." sqref="E30"/>
    <dataValidation allowBlank="1" showInputMessage="1" showErrorMessage="1" prompt="Number of LECTURERS with M.Phil. but not PH.D." sqref="E29"/>
    <dataValidation allowBlank="1" showInputMessage="1" showErrorMessage="1" prompt="LECTURER SANCTIONED POSTS" sqref="F26:F27 F31"/>
    <dataValidation type="whole" allowBlank="1" showInputMessage="1" showErrorMessage="1" sqref="E118:F118">
      <formula1>0</formula1>
      <formula2>100000</formula2>
    </dataValidation>
    <dataValidation allowBlank="1" showInputMessage="1" showErrorMessage="1" prompt="Total Expenditure like office expenses,  electricity, water etc but not Salary during year ending on last 31st March." sqref="E110"/>
    <dataValidation allowBlank="1" showInputMessage="1" showErrorMessage="1" prompt="Total Expenditure in Books, Labs, Furniture, Equipments, IT, Sports articles etc BUT NOT in BUILDING during year ending on last 31st March." sqref="E109"/>
    <dataValidation type="list" allowBlank="1" showInputMessage="1" showErrorMessage="1" sqref="AD20 AD7:AD11 AD23:AD35 AD38:AD137 AD139:AD142">
      <formula1>"YES,NO"</formula1>
    </dataValidation>
    <dataValidation allowBlank="1" showInputMessage="1" showErrorMessage="1" prompt="Number of Lecturers who are awarded Research Projects from UGC, ICSSR and OTHER RESEARCH FUNDING AGENCY." sqref="E46"/>
    <dataValidation allowBlank="1" showInputMessage="1" showErrorMessage="1" prompt="Number of Lecturers presented 3 and more research papers in national seminars during last 3 years." sqref="E43"/>
    <dataValidation allowBlank="1" showInputMessage="1" showErrorMessage="1" prompt="Number of Lecturers presented 2 and more research papers in international seminars during last 3 years." sqref="E42"/>
    <dataValidation allowBlank="1" showInputMessage="1" showErrorMessage="1" prompt="Number of Lecturers under whom  scholar is awarded Ph.D." sqref="E41"/>
    <dataValidation allowBlank="1" showInputMessage="1" showErrorMessage="1" prompt="Number of Lecturers who are recognised as research supervisor." sqref="E40"/>
    <dataValidation allowBlank="1" showInputMessage="1" showErrorMessage="1" prompt="Number of Lecturers who authored/co-authored at least one book." sqref="E39"/>
    <dataValidation allowBlank="1" showInputMessage="1" showErrorMessage="1" prompt="Number of Lecturers having 5 and more research papers published during last 3 years." sqref="E38"/>
    <dataValidation allowBlank="1" showInputMessage="1" showErrorMessage="1" prompt="Number of Regular Students of UG-Final and PG-Final who GOT 60% AND MORE LAST YEAR." sqref="E36"/>
    <dataValidation allowBlank="1" showInputMessage="1" showErrorMessage="1" prompt="Number of UG Final and PG Final  Regular Students who PASSED Last Year" sqref="E35"/>
    <dataValidation allowBlank="1" showInputMessage="1" showErrorMessage="1" prompt="Number of LECTURERS with PH.D." sqref="E28"/>
    <dataValidation allowBlank="1" showInputMessage="1" showErrorMessage="1" prompt="Number of Lecturers associated with ACADEMIC ASSOCIATION." sqref="E48"/>
    <dataValidation allowBlank="1" showInputMessage="1" showErrorMessage="1" prompt="Number of Lecturers who ATTENDED EVENTS OUTSIDE INDIA." sqref="E49"/>
    <dataValidation allowBlank="1" showInputMessage="1" showErrorMessage="1" prompt="Total Strength of Students having PRACTICAL SUBJECTS" sqref="E53"/>
    <dataValidation allowBlank="1" showInputMessage="1" showErrorMessage="1" prompt="Total Number of  LABS" sqref="F53"/>
    <dataValidation allowBlank="1" showInputMessage="1" showErrorMessage="1" prompt="Total Number of  CLASS ROOMS" sqref="F52"/>
    <dataValidation allowBlank="1" showInputMessage="1" showErrorMessage="1" prompt="Number of Class Rooms and Labs with fans and lights" sqref="E55"/>
    <dataValidation allowBlank="1" showInputMessage="1" showErrorMessage="1" prompt="Total Number of Class Rooms + Labs" sqref="F55"/>
    <dataValidation allowBlank="1" showInputMessage="1" showErrorMessage="1" prompt="Total Strength of BOYS Students including SFS" sqref="E56"/>
    <dataValidation allowBlank="1" showInputMessage="1" showErrorMessage="1" prompt="Number of Department Rooms" sqref="E60"/>
    <dataValidation allowBlank="1" showInputMessage="1" showErrorMessage="1" prompt="Total Number of toils available for faculty members" sqref="F61"/>
    <dataValidation allowBlank="1" showInputMessage="1" showErrorMessage="1" prompt="Total Electricity Generated through Generator/Inverter/Solar panel in the College (KW)" sqref="E70"/>
    <dataValidation allowBlank="1" showInputMessage="1" showErrorMessage="1" prompt="Total Electricity Requirement of the College (KW)" sqref="F70"/>
    <dataValidation allowBlank="1" showInputMessage="1" showErrorMessage="1" prompt="Number of Ministrial Staff working at present including SFS." sqref="E72"/>
    <dataValidation allowBlank="1" showInputMessage="1" showErrorMessage="1" prompt="Number of Suporting Staff working at present including SFS." sqref="E73"/>
    <dataValidation allowBlank="1" showInputMessage="1" showErrorMessage="1" prompt="Total Sanctions Posts of Ministerial Staff including SFS." sqref="F72"/>
    <dataValidation allowBlank="1" showInputMessage="1" showErrorMessage="1" prompt="Total Sanctions Posts of Suporting Staff including SFS." sqref="F73"/>
    <dataValidation allowBlank="1" showInputMessage="1" showErrorMessage="1" prompt="Number of Library Staff working at present." sqref="E78"/>
    <dataValidation allowBlank="1" showInputMessage="1" showErrorMessage="1" prompt="Library staff Sanctioned Posts (TOTAL)." sqref="F78"/>
    <dataValidation allowBlank="1" showInputMessage="1" showErrorMessage="1" prompt="Number of Books in Library (TOTAL)" sqref="E79"/>
    <dataValidation allowBlank="1" showInputMessage="1" showErrorMessage="1" prompt="Number of Subjects (TOTAL)" sqref="F84 F60"/>
    <dataValidation allowBlank="1" showInputMessage="1" showErrorMessage="1" prompt="Number of Subject Journals Subscribed (TOTAL)" sqref="E84"/>
    <dataValidation allowBlank="1" showInputMessage="1" showErrorMessage="1" prompt="Number of Students guided through Counselling Cell" sqref="E85"/>
    <dataValidation allowBlank="1" showInputMessage="1" showErrorMessage="1" prompt="Number of Students utilising IT/ICT Lab Faciliteis." sqref="E97"/>
    <dataValidation allowBlank="1" showInputMessage="1" showErrorMessage="1" prompt="Total Grants Utilised (UGC, RUSA etc)." sqref="E108"/>
    <dataValidation allowBlank="1" showInputMessage="1" showErrorMessage="1" prompt="Number of students participated in Inter House Sport Activities." sqref="E121"/>
    <dataValidation allowBlank="1" showInputMessage="1" showErrorMessage="1" prompt="Number of Students placed throught Employment Fairs." sqref="E125"/>
    <dataValidation allowBlank="1" showInputMessage="1" showErrorMessage="1" prompt="Number of Students who received GK Books." sqref="E126"/>
    <dataValidation allowBlank="1" showInputMessage="1" showErrorMessage="1" prompt="Number of Students who received English Grammer Books." sqref="E127"/>
    <dataValidation allowBlank="1" showInputMessage="1" showErrorMessage="1" prompt="Number of Days" sqref="F128"/>
    <dataValidation allowBlank="1" showInputMessage="1" showErrorMessage="1" prompt="Number of Classes Organised Under Pratiyogita Dakshta Programme" sqref="E128"/>
    <dataValidation allowBlank="1" showInputMessage="1" showErrorMessage="1" prompt="Number of students Appeare in State Level GK Competition" sqref="E129"/>
    <dataValidation allowBlank="1" showInputMessage="1" showErrorMessage="1" prompt="Average Number of students appeared for Monthly Test" sqref="E131"/>
    <dataValidation type="whole" allowBlank="1" showInputMessage="1" showErrorMessage="1" prompt="Audit by State Audit team, MVS fund Audit, RUSA Grant Audit, UGC Grant Audit" sqref="E111:F111">
      <formula1>0</formula1>
      <formula2>100000000</formula2>
    </dataValidation>
    <dataValidation allowBlank="1" showInputMessage="1" showErrorMessage="1" prompt="Number of LECTURERS who contributed E-content and being used in more than one institution." sqref="E34"/>
    <dataValidation allowBlank="1" showInputMessage="1" showErrorMessage="1" prompt="Content wise teached completed." sqref="E33"/>
    <dataValidation allowBlank="1" showInputMessage="1" showErrorMessage="1" prompt="Total Teaching Content-wise" sqref="F33"/>
    <dataValidation allowBlank="1" showInputMessage="1" showErrorMessage="1" prompt="Lecturers  only REGULAR APPOINTMENT" sqref="E27 F28:F30 F34 F38:F43 F46 F48:F49"/>
    <dataValidation allowBlank="1" showInputMessage="1" showErrorMessage="1" prompt="Lecturers all (SFS+REGULAR+GUEST FACULTY+ADHOC+WORK ARRANGEMENT)" sqref="E26 E61 F32"/>
    <dataValidation allowBlank="1" showInputMessage="1" showErrorMessage="1" prompt="students in SKILL DEVELOPMENT courses" sqref="E25"/>
    <dataValidation allowBlank="1" showInputMessage="1" showErrorMessage="1" prompt="students in VOCATIONAL COURSES" sqref="E24"/>
    <dataValidation allowBlank="1" showInputMessage="1" showErrorMessage="1" prompt="No of BPL Students" sqref="E18"/>
    <dataValidation allowBlank="1" showInputMessage="1" showErrorMessage="1" prompt="No of students with SPECIAL ABILITIES" sqref="E19"/>
    <dataValidation allowBlank="1" showInputMessage="1" showErrorMessage="1" prompt="No of students from OTHER DISTRICTS" sqref="E17"/>
    <dataValidation type="whole" allowBlank="1" showInputMessage="1" showErrorMessage="1" sqref="E20:E23 G132:G137 G111:G119 E44:E45 G130 E119 E130 G139:G143 E95 G95 E88:E91 E80 E83 G68 E62 E50 E47 G44:G45 G20:G23 G80 E68 G83 G62 G50 G47 G88:G91 E132:E137 E114:E116">
      <formula1>0</formula1>
      <formula2>500</formula2>
    </dataValidation>
    <dataValidation type="list" allowBlank="1" showInputMessage="1" showErrorMessage="1" prompt="Whether Girls College ? Yes or No ?" sqref="G124">
      <formula1>"NO PENDENCY,PENDENCY"</formula1>
    </dataValidation>
    <dataValidation type="list" allowBlank="1" showInputMessage="1" showErrorMessage="1" prompt="Whether Girls College ? Yes or No ?" sqref="G58:G59 G122:G123 G10 G51 G98:G107 G63:G67 G69 G71 G86:G87 G82 G74:G77 G92:G94 G96 G120">
      <formula1>"YES,NO"</formula1>
    </dataValidation>
    <dataValidation allowBlank="1" showInputMessage="1" showErrorMessage="1" prompt="No of MINORITIES Students" sqref="E16"/>
    <dataValidation allowBlank="1" showInputMessage="1" showErrorMessage="1" prompt="No of EWS Students" sqref="E15"/>
    <dataValidation allowBlank="1" showInputMessage="1" showErrorMessage="1" prompt="No of MBC Students" sqref="E14"/>
    <dataValidation allowBlank="1" showInputMessage="1" showErrorMessage="1" prompt="No of ST Students" sqref="E12"/>
    <dataValidation allowBlank="1" showInputMessage="1" showErrorMessage="1" prompt="No of SC Students" sqref="E11"/>
    <dataValidation allowBlank="1" showInputMessage="1" showErrorMessage="1" prompt="No of OBC Students" sqref="E13"/>
    <dataValidation allowBlank="1" showInputMessage="1" showErrorMessage="1" prompt="Girls Students number" sqref="E9"/>
    <dataValidation allowBlank="1" showInputMessage="1" showErrorMessage="1" prompt="Actual Student Strength including SFS" sqref="F9 F11:F19"/>
    <dataValidation allowBlank="1" showInputMessage="1" showErrorMessage="1" prompt="Total number of STUDENT FURNITURE available in the college" sqref="E54"/>
    <dataValidation allowBlank="1" showInputMessage="1" showErrorMessage="1" prompt="Total Strength of Students in UG-1 and PG-P including SFS" sqref="F8"/>
    <dataValidation allowBlank="1" showInputMessage="1" showErrorMessage="1" prompt="Total Strength of Students including SFS" sqref="F7 F24 F97 F125:F127 F85 F121 F129 F54 E52 E57 E31:E32"/>
    <dataValidation allowBlank="1" showInputMessage="1" showErrorMessage="1" prompt="Actually Admitted Student Number including SFS" sqref="E7 F79 F81"/>
  </dataValidations>
  <printOptions horizontalCentered="1"/>
  <pageMargins left="0.196850393700787" right="0.196850393700787" top="0.236220472440945" bottom="0.511811023622047" header="0.31496062992126" footer="0.31496062992126"/>
  <pageSetup blackAndWhite="1" horizontalDpi="600" verticalDpi="600" orientation="landscape" paperSize="9" r:id="rId1"/>
  <headerFooter>
    <oddFooter>&amp;CPage No.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theme="0"/>
  </sheetPr>
  <dimension ref="A1:H168"/>
  <sheetViews>
    <sheetView zoomScale="90" zoomScaleNormal="90" zoomScaleSheetLayoutView="70" zoomScalePageLayoutView="0" workbookViewId="0" topLeftCell="A1">
      <pane xSplit="3" ySplit="6" topLeftCell="D7" activePane="bottomRight" state="frozen"/>
      <selection pane="topLeft" activeCell="H9" sqref="H9"/>
      <selection pane="topRight" activeCell="H9" sqref="H9"/>
      <selection pane="bottomLeft" activeCell="H9" sqref="H9"/>
      <selection pane="bottomRight" activeCell="E9" sqref="E9"/>
    </sheetView>
  </sheetViews>
  <sheetFormatPr defaultColWidth="0" defaultRowHeight="0" customHeight="1" zeroHeight="1"/>
  <cols>
    <col min="1" max="1" width="10.21484375" style="197" customWidth="1"/>
    <col min="2" max="2" width="12.10546875" style="197" customWidth="1"/>
    <col min="3" max="3" width="5.10546875" style="269" customWidth="1"/>
    <col min="4" max="4" width="40.5546875" style="271" customWidth="1"/>
    <col min="5" max="5" width="7.88671875" style="220" customWidth="1"/>
    <col min="6" max="6" width="9.4453125" style="220" customWidth="1"/>
    <col min="7" max="7" width="14.88671875" style="2" hidden="1" customWidth="1"/>
    <col min="8" max="8" width="9.3359375" style="70" customWidth="1"/>
    <col min="9" max="9" width="0" style="0" hidden="1" customWidth="1"/>
    <col min="10" max="14" width="3.88671875" style="0" hidden="1" customWidth="1"/>
    <col min="15" max="25" width="13.5546875" style="0" hidden="1" customWidth="1"/>
    <col min="26" max="31" width="0" style="0" hidden="1" customWidth="1"/>
    <col min="32" max="34" width="5.4453125" style="0" hidden="1" customWidth="1"/>
    <col min="35" max="41" width="0" style="0" hidden="1" customWidth="1"/>
    <col min="42" max="46" width="5.4453125" style="0" hidden="1" customWidth="1"/>
    <col min="47" max="49" width="0" style="0" hidden="1" customWidth="1"/>
    <col min="50" max="58" width="8.88671875" style="0" hidden="1" customWidth="1"/>
    <col min="59" max="60" width="9.5546875" style="0" hidden="1" customWidth="1"/>
    <col min="61" max="16384" width="8.88671875" style="0" hidden="1" customWidth="1"/>
  </cols>
  <sheetData>
    <row r="1" spans="1:8" ht="25.5" customHeight="1">
      <c r="A1" s="1087" t="str">
        <f>+'Result NAAC'!B1</f>
        <v>SETH R.L.SAHARIA GOVT. P.G. COLLEGE KALADERA KALADERA (JAIPUR)</v>
      </c>
      <c r="B1" s="1087"/>
      <c r="C1" s="1087"/>
      <c r="D1" s="1087"/>
      <c r="E1" s="1087"/>
      <c r="F1" s="1087"/>
      <c r="G1" s="1087"/>
      <c r="H1" s="1087"/>
    </row>
    <row r="2" spans="1:8" ht="25.5" customHeight="1">
      <c r="A2" s="1088" t="str">
        <f>+'Result NAAC'!B2</f>
        <v>Assessment Matrix for Annual Auditing Programe : Final Report</v>
      </c>
      <c r="B2" s="1088"/>
      <c r="C2" s="1088"/>
      <c r="D2" s="1088"/>
      <c r="E2" s="1088"/>
      <c r="F2" s="1088"/>
      <c r="G2" s="1088"/>
      <c r="H2" s="1088"/>
    </row>
    <row r="3" spans="1:8" ht="19.5" customHeight="1">
      <c r="A3" s="1089" t="str">
        <f>+'Result NAAC'!B3</f>
        <v>Inspection Phase : First for Session : 2019-20 and Inspection Dates : 17-MAR-2020 and 18-MAR-2020</v>
      </c>
      <c r="B3" s="1089"/>
      <c r="C3" s="1089"/>
      <c r="D3" s="1089"/>
      <c r="E3" s="1089"/>
      <c r="F3" s="1089"/>
      <c r="G3" s="1089"/>
      <c r="H3" s="1089"/>
    </row>
    <row r="4" spans="1:8" ht="19.5" customHeight="1" thickBot="1">
      <c r="A4" s="1256" t="s">
        <v>191</v>
      </c>
      <c r="B4" s="1256"/>
      <c r="C4" s="1256"/>
      <c r="D4" s="1256"/>
      <c r="E4" s="1256"/>
      <c r="F4" s="1256"/>
      <c r="G4" s="1256"/>
      <c r="H4" s="1256"/>
    </row>
    <row r="5" spans="1:8" ht="25.5" customHeight="1" thickBot="1" thickTop="1">
      <c r="A5" s="1207" t="s">
        <v>192</v>
      </c>
      <c r="B5" s="1207" t="s">
        <v>1</v>
      </c>
      <c r="C5" s="1209" t="s">
        <v>2</v>
      </c>
      <c r="D5" s="1207" t="s">
        <v>3</v>
      </c>
      <c r="E5" s="1263" t="s">
        <v>164</v>
      </c>
      <c r="F5" s="1264"/>
      <c r="G5" s="1267" t="s">
        <v>154</v>
      </c>
      <c r="H5" s="1261" t="s">
        <v>4</v>
      </c>
    </row>
    <row r="6" spans="1:8" ht="31.5" customHeight="1" thickBot="1">
      <c r="A6" s="1208"/>
      <c r="B6" s="1208"/>
      <c r="C6" s="1210"/>
      <c r="D6" s="1208"/>
      <c r="E6" s="1265"/>
      <c r="F6" s="1266"/>
      <c r="G6" s="1268"/>
      <c r="H6" s="1262"/>
    </row>
    <row r="7" spans="1:8" ht="37.5" customHeight="1" thickBot="1" thickTop="1">
      <c r="A7" s="1257" t="s">
        <v>6</v>
      </c>
      <c r="B7" s="1258" t="s">
        <v>7</v>
      </c>
      <c r="C7" s="340">
        <v>1</v>
      </c>
      <c r="D7" s="298" t="s">
        <v>29</v>
      </c>
      <c r="E7" s="279"/>
      <c r="F7" s="280"/>
      <c r="G7" s="281">
        <f>IF(E7="","",ROUND(E7/F7,4))</f>
      </c>
      <c r="H7" s="341">
        <v>3</v>
      </c>
    </row>
    <row r="8" spans="1:8" ht="37.5" customHeight="1" thickBot="1">
      <c r="A8" s="1253"/>
      <c r="B8" s="1259"/>
      <c r="C8" s="314">
        <f>1+C7</f>
        <v>2</v>
      </c>
      <c r="D8" s="299" t="s">
        <v>30</v>
      </c>
      <c r="E8" s="272"/>
      <c r="F8" s="205"/>
      <c r="G8" s="159">
        <f>IF(E8="","",ROUND(E8/F8,4))</f>
      </c>
      <c r="H8" s="284">
        <v>2.5</v>
      </c>
    </row>
    <row r="9" spans="1:8" ht="37.5" customHeight="1" thickBot="1">
      <c r="A9" s="1253"/>
      <c r="B9" s="1254" t="s">
        <v>8</v>
      </c>
      <c r="C9" s="1052">
        <f aca="true" t="shared" si="0" ref="C9:C72">1+C8</f>
        <v>3</v>
      </c>
      <c r="D9" s="300" t="s">
        <v>157</v>
      </c>
      <c r="E9" s="393"/>
      <c r="F9" s="206">
        <f>+$E$7</f>
        <v>0</v>
      </c>
      <c r="G9" s="160">
        <f>IF(E9="","",ROUND(E9/F9,4))</f>
      </c>
      <c r="H9" s="1260">
        <v>1.5</v>
      </c>
    </row>
    <row r="10" spans="1:8" ht="37.5" customHeight="1" thickBot="1">
      <c r="A10" s="1253"/>
      <c r="B10" s="1254"/>
      <c r="C10" s="1052"/>
      <c r="D10" s="300" t="s">
        <v>156</v>
      </c>
      <c r="E10" s="1189"/>
      <c r="F10" s="1027"/>
      <c r="G10" s="43">
        <f>+E10</f>
        <v>0</v>
      </c>
      <c r="H10" s="1260"/>
    </row>
    <row r="11" spans="1:8" ht="37.5" customHeight="1" thickBot="1">
      <c r="A11" s="1253"/>
      <c r="B11" s="1254"/>
      <c r="C11" s="391">
        <f>1+C9</f>
        <v>4</v>
      </c>
      <c r="D11" s="300" t="s">
        <v>31</v>
      </c>
      <c r="E11" s="388"/>
      <c r="F11" s="206">
        <f aca="true" t="shared" si="1" ref="F11:F19">+$E$7</f>
        <v>0</v>
      </c>
      <c r="G11" s="161">
        <f aca="true" t="shared" si="2" ref="G11:G19">IF(E11="","",ROUND(E11/F11,4))</f>
      </c>
      <c r="H11" s="392">
        <v>1</v>
      </c>
    </row>
    <row r="12" spans="1:8" ht="37.5" customHeight="1" thickBot="1">
      <c r="A12" s="1253"/>
      <c r="B12" s="1254"/>
      <c r="C12" s="391">
        <f t="shared" si="0"/>
        <v>5</v>
      </c>
      <c r="D12" s="300" t="s">
        <v>32</v>
      </c>
      <c r="E12" s="393"/>
      <c r="F12" s="206">
        <f t="shared" si="1"/>
        <v>0</v>
      </c>
      <c r="G12" s="161">
        <f t="shared" si="2"/>
      </c>
      <c r="H12" s="392">
        <v>1</v>
      </c>
    </row>
    <row r="13" spans="1:8" ht="37.5" customHeight="1" thickBot="1">
      <c r="A13" s="1253"/>
      <c r="B13" s="1254"/>
      <c r="C13" s="391">
        <f t="shared" si="0"/>
        <v>6</v>
      </c>
      <c r="D13" s="300" t="s">
        <v>33</v>
      </c>
      <c r="E13" s="393"/>
      <c r="F13" s="206">
        <f t="shared" si="1"/>
        <v>0</v>
      </c>
      <c r="G13" s="161">
        <f t="shared" si="2"/>
      </c>
      <c r="H13" s="392">
        <v>1</v>
      </c>
    </row>
    <row r="14" spans="1:8" ht="37.5" customHeight="1" thickBot="1">
      <c r="A14" s="1253"/>
      <c r="B14" s="1254"/>
      <c r="C14" s="391">
        <f t="shared" si="0"/>
        <v>7</v>
      </c>
      <c r="D14" s="300" t="s">
        <v>34</v>
      </c>
      <c r="E14" s="393"/>
      <c r="F14" s="206">
        <f t="shared" si="1"/>
        <v>0</v>
      </c>
      <c r="G14" s="161">
        <f t="shared" si="2"/>
      </c>
      <c r="H14" s="392">
        <v>1</v>
      </c>
    </row>
    <row r="15" spans="1:8" ht="37.5" customHeight="1" thickBot="1">
      <c r="A15" s="1253"/>
      <c r="B15" s="1254"/>
      <c r="C15" s="391">
        <f t="shared" si="0"/>
        <v>8</v>
      </c>
      <c r="D15" s="300" t="s">
        <v>35</v>
      </c>
      <c r="E15" s="393"/>
      <c r="F15" s="206">
        <f t="shared" si="1"/>
        <v>0</v>
      </c>
      <c r="G15" s="161">
        <f t="shared" si="2"/>
      </c>
      <c r="H15" s="392">
        <v>1</v>
      </c>
    </row>
    <row r="16" spans="1:8" ht="37.5" customHeight="1" thickBot="1">
      <c r="A16" s="1253"/>
      <c r="B16" s="1254"/>
      <c r="C16" s="391">
        <f t="shared" si="0"/>
        <v>9</v>
      </c>
      <c r="D16" s="300" t="s">
        <v>36</v>
      </c>
      <c r="E16" s="393"/>
      <c r="F16" s="206">
        <f t="shared" si="1"/>
        <v>0</v>
      </c>
      <c r="G16" s="161">
        <f t="shared" si="2"/>
      </c>
      <c r="H16" s="392">
        <v>1</v>
      </c>
    </row>
    <row r="17" spans="1:8" ht="37.5" customHeight="1" thickBot="1">
      <c r="A17" s="1253"/>
      <c r="B17" s="1254"/>
      <c r="C17" s="391">
        <f t="shared" si="0"/>
        <v>10</v>
      </c>
      <c r="D17" s="300" t="s">
        <v>37</v>
      </c>
      <c r="E17" s="393"/>
      <c r="F17" s="206">
        <f t="shared" si="1"/>
        <v>0</v>
      </c>
      <c r="G17" s="161">
        <f t="shared" si="2"/>
      </c>
      <c r="H17" s="392">
        <v>0.5</v>
      </c>
    </row>
    <row r="18" spans="1:8" ht="37.5" customHeight="1" thickBot="1">
      <c r="A18" s="1253" t="s">
        <v>6</v>
      </c>
      <c r="B18" s="1254" t="s">
        <v>8</v>
      </c>
      <c r="C18" s="391">
        <f t="shared" si="0"/>
        <v>11</v>
      </c>
      <c r="D18" s="300" t="s">
        <v>38</v>
      </c>
      <c r="E18" s="393"/>
      <c r="F18" s="206">
        <f t="shared" si="1"/>
        <v>0</v>
      </c>
      <c r="G18" s="161">
        <f t="shared" si="2"/>
      </c>
      <c r="H18" s="392">
        <v>0.5</v>
      </c>
    </row>
    <row r="19" spans="1:8" ht="37.5" customHeight="1" thickBot="1">
      <c r="A19" s="1253"/>
      <c r="B19" s="1254"/>
      <c r="C19" s="391">
        <f t="shared" si="0"/>
        <v>12</v>
      </c>
      <c r="D19" s="300" t="s">
        <v>39</v>
      </c>
      <c r="E19" s="393"/>
      <c r="F19" s="206">
        <f t="shared" si="1"/>
        <v>0</v>
      </c>
      <c r="G19" s="161">
        <f t="shared" si="2"/>
      </c>
      <c r="H19" s="392">
        <v>0.5</v>
      </c>
    </row>
    <row r="20" spans="1:8" ht="37.5" customHeight="1" thickBot="1">
      <c r="A20" s="1253"/>
      <c r="B20" s="1255" t="s">
        <v>9</v>
      </c>
      <c r="C20" s="315">
        <f t="shared" si="0"/>
        <v>13</v>
      </c>
      <c r="D20" s="301" t="s">
        <v>40</v>
      </c>
      <c r="E20" s="1186"/>
      <c r="F20" s="1014"/>
      <c r="G20" s="42">
        <f>+E20</f>
        <v>0</v>
      </c>
      <c r="H20" s="285">
        <v>1</v>
      </c>
    </row>
    <row r="21" spans="1:8" ht="37.5" customHeight="1" thickBot="1">
      <c r="A21" s="1253"/>
      <c r="B21" s="1255"/>
      <c r="C21" s="315">
        <f t="shared" si="0"/>
        <v>14</v>
      </c>
      <c r="D21" s="301" t="s">
        <v>41</v>
      </c>
      <c r="E21" s="1186"/>
      <c r="F21" s="1014"/>
      <c r="G21" s="42">
        <f>+E21</f>
        <v>0</v>
      </c>
      <c r="H21" s="285">
        <v>1.5</v>
      </c>
    </row>
    <row r="22" spans="1:8" ht="37.5" customHeight="1" thickBot="1">
      <c r="A22" s="1253"/>
      <c r="B22" s="1255"/>
      <c r="C22" s="315">
        <f t="shared" si="0"/>
        <v>15</v>
      </c>
      <c r="D22" s="301" t="s">
        <v>42</v>
      </c>
      <c r="E22" s="1186"/>
      <c r="F22" s="1014"/>
      <c r="G22" s="42">
        <f>+E22</f>
        <v>0</v>
      </c>
      <c r="H22" s="285">
        <v>0.5</v>
      </c>
    </row>
    <row r="23" spans="1:8" ht="31.5" customHeight="1" thickBot="1">
      <c r="A23" s="1253"/>
      <c r="B23" s="1255"/>
      <c r="C23" s="315">
        <f t="shared" si="0"/>
        <v>16</v>
      </c>
      <c r="D23" s="301" t="s">
        <v>43</v>
      </c>
      <c r="E23" s="1186"/>
      <c r="F23" s="1014"/>
      <c r="G23" s="42">
        <f>+E23</f>
        <v>0</v>
      </c>
      <c r="H23" s="285">
        <v>0.5</v>
      </c>
    </row>
    <row r="24" spans="1:8" ht="37.5" customHeight="1" thickBot="1">
      <c r="A24" s="1253"/>
      <c r="B24" s="1255"/>
      <c r="C24" s="315">
        <f t="shared" si="0"/>
        <v>17</v>
      </c>
      <c r="D24" s="301" t="s">
        <v>44</v>
      </c>
      <c r="E24" s="394"/>
      <c r="F24" s="207">
        <f>+$E$7</f>
        <v>0</v>
      </c>
      <c r="G24" s="162">
        <f aca="true" t="shared" si="3" ref="G24:G30">IF(E24="","",ROUND(E24/F24,4))</f>
      </c>
      <c r="H24" s="285">
        <v>0.5</v>
      </c>
    </row>
    <row r="25" spans="1:8" ht="57" customHeight="1" thickBot="1">
      <c r="A25" s="1253"/>
      <c r="B25" s="1255"/>
      <c r="C25" s="315">
        <f t="shared" si="0"/>
        <v>18</v>
      </c>
      <c r="D25" s="301" t="s">
        <v>45</v>
      </c>
      <c r="E25" s="394"/>
      <c r="F25" s="394"/>
      <c r="G25" s="162">
        <f t="shared" si="3"/>
      </c>
      <c r="H25" s="285">
        <v>1.5</v>
      </c>
    </row>
    <row r="26" spans="1:8" ht="56.25" customHeight="1" thickBot="1">
      <c r="A26" s="1253"/>
      <c r="B26" s="1252" t="s">
        <v>10</v>
      </c>
      <c r="C26" s="316">
        <f t="shared" si="0"/>
        <v>19</v>
      </c>
      <c r="D26" s="302" t="s">
        <v>46</v>
      </c>
      <c r="E26" s="273"/>
      <c r="F26" s="208"/>
      <c r="G26" s="163">
        <f t="shared" si="3"/>
      </c>
      <c r="H26" s="286">
        <v>1.5</v>
      </c>
    </row>
    <row r="27" spans="1:8" ht="37.5" customHeight="1" thickBot="1">
      <c r="A27" s="1253"/>
      <c r="B27" s="1252"/>
      <c r="C27" s="316">
        <f t="shared" si="0"/>
        <v>20</v>
      </c>
      <c r="D27" s="302" t="s">
        <v>47</v>
      </c>
      <c r="E27" s="273"/>
      <c r="F27" s="209">
        <f>+F26</f>
        <v>0</v>
      </c>
      <c r="G27" s="163">
        <f t="shared" si="3"/>
      </c>
      <c r="H27" s="286">
        <v>1</v>
      </c>
    </row>
    <row r="28" spans="1:8" ht="37.5" customHeight="1" thickBot="1">
      <c r="A28" s="1253" t="s">
        <v>6</v>
      </c>
      <c r="B28" s="1252" t="s">
        <v>10</v>
      </c>
      <c r="C28" s="316">
        <f t="shared" si="0"/>
        <v>21</v>
      </c>
      <c r="D28" s="302" t="s">
        <v>48</v>
      </c>
      <c r="E28" s="273"/>
      <c r="F28" s="209">
        <f>+$E$27</f>
        <v>0</v>
      </c>
      <c r="G28" s="163">
        <f t="shared" si="3"/>
      </c>
      <c r="H28" s="286">
        <v>1.5</v>
      </c>
    </row>
    <row r="29" spans="1:8" ht="37.5" customHeight="1" thickBot="1">
      <c r="A29" s="1253"/>
      <c r="B29" s="1252"/>
      <c r="C29" s="316">
        <f t="shared" si="0"/>
        <v>22</v>
      </c>
      <c r="D29" s="302" t="s">
        <v>49</v>
      </c>
      <c r="E29" s="273"/>
      <c r="F29" s="209">
        <f>+$E$27</f>
        <v>0</v>
      </c>
      <c r="G29" s="163">
        <f t="shared" si="3"/>
      </c>
      <c r="H29" s="286">
        <v>0.5</v>
      </c>
    </row>
    <row r="30" spans="1:8" ht="37.5" customHeight="1" thickBot="1">
      <c r="A30" s="1253"/>
      <c r="B30" s="1252"/>
      <c r="C30" s="316">
        <f t="shared" si="0"/>
        <v>23</v>
      </c>
      <c r="D30" s="302" t="s">
        <v>50</v>
      </c>
      <c r="E30" s="273"/>
      <c r="F30" s="209">
        <f>+$E$27</f>
        <v>0</v>
      </c>
      <c r="G30" s="163">
        <f t="shared" si="3"/>
      </c>
      <c r="H30" s="286">
        <v>0.5</v>
      </c>
    </row>
    <row r="31" spans="1:8" ht="37.5" customHeight="1" thickBot="1">
      <c r="A31" s="1253"/>
      <c r="B31" s="1252"/>
      <c r="C31" s="316">
        <f t="shared" si="0"/>
        <v>24</v>
      </c>
      <c r="D31" s="302" t="s">
        <v>51</v>
      </c>
      <c r="E31" s="274">
        <f>+$E$7</f>
        <v>0</v>
      </c>
      <c r="F31" s="209">
        <f>+F27</f>
        <v>0</v>
      </c>
      <c r="G31" s="164" t="e">
        <f>IF(E31="","",ROUND(E31/F31,4))</f>
        <v>#DIV/0!</v>
      </c>
      <c r="H31" s="286">
        <v>1</v>
      </c>
    </row>
    <row r="32" spans="1:8" ht="37.5" customHeight="1" thickBot="1">
      <c r="A32" s="1253"/>
      <c r="B32" s="1252"/>
      <c r="C32" s="316">
        <f t="shared" si="0"/>
        <v>25</v>
      </c>
      <c r="D32" s="302" t="s">
        <v>52</v>
      </c>
      <c r="E32" s="274">
        <f>+$E$7</f>
        <v>0</v>
      </c>
      <c r="F32" s="209">
        <f>+$E$26</f>
        <v>0</v>
      </c>
      <c r="G32" s="164" t="e">
        <f>IF(E32="","",ROUND(E32/F32,4))</f>
        <v>#DIV/0!</v>
      </c>
      <c r="H32" s="286">
        <v>1</v>
      </c>
    </row>
    <row r="33" spans="1:8" ht="37.5" customHeight="1" thickBot="1">
      <c r="A33" s="1253"/>
      <c r="B33" s="1252"/>
      <c r="C33" s="316">
        <f t="shared" si="0"/>
        <v>26</v>
      </c>
      <c r="D33" s="302" t="s">
        <v>53</v>
      </c>
      <c r="E33" s="273"/>
      <c r="F33" s="208"/>
      <c r="G33" s="163">
        <f aca="true" t="shared" si="4" ref="G33:G43">IF(E33="","",ROUND(E33/F33,4))</f>
      </c>
      <c r="H33" s="286">
        <v>1</v>
      </c>
    </row>
    <row r="34" spans="1:8" ht="60" customHeight="1" thickBot="1">
      <c r="A34" s="1253"/>
      <c r="B34" s="1252"/>
      <c r="C34" s="316">
        <f t="shared" si="0"/>
        <v>27</v>
      </c>
      <c r="D34" s="302" t="s">
        <v>54</v>
      </c>
      <c r="E34" s="273"/>
      <c r="F34" s="209">
        <f>+$E$27</f>
        <v>0</v>
      </c>
      <c r="G34" s="163">
        <f t="shared" si="4"/>
      </c>
      <c r="H34" s="286">
        <v>1</v>
      </c>
    </row>
    <row r="35" spans="1:8" ht="37.5" customHeight="1" thickBot="1">
      <c r="A35" s="1253"/>
      <c r="B35" s="1251" t="s">
        <v>11</v>
      </c>
      <c r="C35" s="317">
        <f t="shared" si="0"/>
        <v>28</v>
      </c>
      <c r="D35" s="303" t="s">
        <v>55</v>
      </c>
      <c r="E35" s="275"/>
      <c r="F35" s="210"/>
      <c r="G35" s="165">
        <f t="shared" si="4"/>
      </c>
      <c r="H35" s="287">
        <v>3</v>
      </c>
    </row>
    <row r="36" spans="1:8" ht="37.5" customHeight="1" thickBot="1">
      <c r="A36" s="1253"/>
      <c r="B36" s="1251"/>
      <c r="C36" s="317">
        <f t="shared" si="0"/>
        <v>29</v>
      </c>
      <c r="D36" s="303" t="s">
        <v>56</v>
      </c>
      <c r="E36" s="275"/>
      <c r="F36" s="211">
        <f>+$F$35</f>
        <v>0</v>
      </c>
      <c r="G36" s="165">
        <f t="shared" si="4"/>
      </c>
      <c r="H36" s="287">
        <v>2</v>
      </c>
    </row>
    <row r="37" spans="1:8" ht="37.5" customHeight="1" thickBot="1">
      <c r="A37" s="1253"/>
      <c r="B37" s="1251"/>
      <c r="C37" s="317">
        <f t="shared" si="0"/>
        <v>30</v>
      </c>
      <c r="D37" s="303" t="s">
        <v>57</v>
      </c>
      <c r="E37" s="275"/>
      <c r="F37" s="211">
        <f>+$F$35</f>
        <v>0</v>
      </c>
      <c r="G37" s="165">
        <f t="shared" si="4"/>
      </c>
      <c r="H37" s="287">
        <v>1</v>
      </c>
    </row>
    <row r="38" spans="1:8" ht="57.75" customHeight="1" thickBot="1">
      <c r="A38" s="1248" t="s">
        <v>12</v>
      </c>
      <c r="B38" s="1249" t="s">
        <v>13</v>
      </c>
      <c r="C38" s="318">
        <f t="shared" si="0"/>
        <v>31</v>
      </c>
      <c r="D38" s="304" t="s">
        <v>58</v>
      </c>
      <c r="E38" s="402"/>
      <c r="F38" s="362">
        <f aca="true" t="shared" si="5" ref="F38:F43">+$E$27</f>
        <v>0</v>
      </c>
      <c r="G38" s="166">
        <f t="shared" si="4"/>
      </c>
      <c r="H38" s="288">
        <v>1</v>
      </c>
    </row>
    <row r="39" spans="1:8" ht="37.5" customHeight="1" thickBot="1">
      <c r="A39" s="1248"/>
      <c r="B39" s="1249"/>
      <c r="C39" s="318">
        <f t="shared" si="0"/>
        <v>32</v>
      </c>
      <c r="D39" s="304" t="s">
        <v>59</v>
      </c>
      <c r="E39" s="402"/>
      <c r="F39" s="212">
        <f t="shared" si="5"/>
        <v>0</v>
      </c>
      <c r="G39" s="166">
        <f t="shared" si="4"/>
      </c>
      <c r="H39" s="288">
        <v>1</v>
      </c>
    </row>
    <row r="40" spans="1:8" ht="37.5" customHeight="1" thickBot="1">
      <c r="A40" s="1248"/>
      <c r="B40" s="1249"/>
      <c r="C40" s="318">
        <f t="shared" si="0"/>
        <v>33</v>
      </c>
      <c r="D40" s="304" t="s">
        <v>60</v>
      </c>
      <c r="E40" s="402"/>
      <c r="F40" s="212">
        <f t="shared" si="5"/>
        <v>0</v>
      </c>
      <c r="G40" s="166">
        <f t="shared" si="4"/>
      </c>
      <c r="H40" s="288">
        <v>1.5</v>
      </c>
    </row>
    <row r="41" spans="1:8" ht="37.5" customHeight="1" thickBot="1">
      <c r="A41" s="1248"/>
      <c r="B41" s="1249"/>
      <c r="C41" s="318">
        <f t="shared" si="0"/>
        <v>34</v>
      </c>
      <c r="D41" s="304" t="s">
        <v>61</v>
      </c>
      <c r="E41" s="402"/>
      <c r="F41" s="212">
        <f t="shared" si="5"/>
        <v>0</v>
      </c>
      <c r="G41" s="166">
        <f t="shared" si="4"/>
      </c>
      <c r="H41" s="288">
        <v>1</v>
      </c>
    </row>
    <row r="42" spans="1:8" ht="59.25" customHeight="1" thickBot="1">
      <c r="A42" s="1248"/>
      <c r="B42" s="1249"/>
      <c r="C42" s="318">
        <f t="shared" si="0"/>
        <v>35</v>
      </c>
      <c r="D42" s="304" t="s">
        <v>62</v>
      </c>
      <c r="E42" s="402"/>
      <c r="F42" s="212">
        <f t="shared" si="5"/>
        <v>0</v>
      </c>
      <c r="G42" s="166">
        <f t="shared" si="4"/>
      </c>
      <c r="H42" s="288">
        <v>1</v>
      </c>
    </row>
    <row r="43" spans="1:8" ht="63" customHeight="1" thickBot="1">
      <c r="A43" s="1248"/>
      <c r="B43" s="1249"/>
      <c r="C43" s="318">
        <f t="shared" si="0"/>
        <v>36</v>
      </c>
      <c r="D43" s="304" t="s">
        <v>63</v>
      </c>
      <c r="E43" s="402"/>
      <c r="F43" s="212">
        <f t="shared" si="5"/>
        <v>0</v>
      </c>
      <c r="G43" s="166">
        <f t="shared" si="4"/>
      </c>
      <c r="H43" s="288">
        <v>1.5</v>
      </c>
    </row>
    <row r="44" spans="1:8" ht="37.5" customHeight="1" thickBot="1">
      <c r="A44" s="1248"/>
      <c r="B44" s="1249"/>
      <c r="C44" s="318">
        <f t="shared" si="0"/>
        <v>37</v>
      </c>
      <c r="D44" s="344" t="s">
        <v>64</v>
      </c>
      <c r="E44" s="1179"/>
      <c r="F44" s="1018"/>
      <c r="G44" s="49">
        <f>+E44</f>
        <v>0</v>
      </c>
      <c r="H44" s="288">
        <v>1.5</v>
      </c>
    </row>
    <row r="45" spans="1:8" ht="61.5" customHeight="1" thickBot="1">
      <c r="A45" s="1248"/>
      <c r="B45" s="1249"/>
      <c r="C45" s="318">
        <f t="shared" si="0"/>
        <v>38</v>
      </c>
      <c r="D45" s="304" t="s">
        <v>65</v>
      </c>
      <c r="E45" s="1179"/>
      <c r="F45" s="1018"/>
      <c r="G45" s="49">
        <f>+E45</f>
        <v>0</v>
      </c>
      <c r="H45" s="288">
        <v>1.5</v>
      </c>
    </row>
    <row r="46" spans="1:8" ht="63" customHeight="1" thickBot="1">
      <c r="A46" s="1248" t="s">
        <v>12</v>
      </c>
      <c r="B46" s="1249" t="s">
        <v>13</v>
      </c>
      <c r="C46" s="318">
        <f t="shared" si="0"/>
        <v>39</v>
      </c>
      <c r="D46" s="304" t="s">
        <v>66</v>
      </c>
      <c r="E46" s="402"/>
      <c r="F46" s="212">
        <f>+$E$27</f>
        <v>0</v>
      </c>
      <c r="G46" s="166">
        <f>IF(E46="","",ROUND(E46/F46,4))</f>
      </c>
      <c r="H46" s="288">
        <v>1</v>
      </c>
    </row>
    <row r="47" spans="1:8" ht="57.75" customHeight="1" thickBot="1">
      <c r="A47" s="1248"/>
      <c r="B47" s="1249"/>
      <c r="C47" s="318">
        <f t="shared" si="0"/>
        <v>40</v>
      </c>
      <c r="D47" s="304" t="s">
        <v>67</v>
      </c>
      <c r="E47" s="1179"/>
      <c r="F47" s="1018"/>
      <c r="G47" s="49">
        <f>+E47</f>
        <v>0</v>
      </c>
      <c r="H47" s="288">
        <v>1</v>
      </c>
    </row>
    <row r="48" spans="1:8" ht="37.5" customHeight="1" thickBot="1">
      <c r="A48" s="1248"/>
      <c r="B48" s="1250" t="s">
        <v>14</v>
      </c>
      <c r="C48" s="319">
        <f t="shared" si="0"/>
        <v>41</v>
      </c>
      <c r="D48" s="305" t="s">
        <v>68</v>
      </c>
      <c r="E48" s="276"/>
      <c r="F48" s="363">
        <f>+$E$27</f>
        <v>0</v>
      </c>
      <c r="G48" s="167">
        <f>IF(E48="","",ROUND(E48/F48,4))</f>
      </c>
      <c r="H48" s="289">
        <v>1</v>
      </c>
    </row>
    <row r="49" spans="1:8" ht="60" customHeight="1" thickBot="1">
      <c r="A49" s="1248"/>
      <c r="B49" s="1250"/>
      <c r="C49" s="319">
        <f t="shared" si="0"/>
        <v>42</v>
      </c>
      <c r="D49" s="305" t="s">
        <v>69</v>
      </c>
      <c r="E49" s="276"/>
      <c r="F49" s="213">
        <f>+$E$27</f>
        <v>0</v>
      </c>
      <c r="G49" s="167">
        <f>IF(E49="","",ROUND(E49/F49,4))</f>
      </c>
      <c r="H49" s="289">
        <v>1</v>
      </c>
    </row>
    <row r="50" spans="1:8" ht="58.5" customHeight="1" thickBot="1">
      <c r="A50" s="1248"/>
      <c r="B50" s="1250"/>
      <c r="C50" s="319">
        <f t="shared" si="0"/>
        <v>43</v>
      </c>
      <c r="D50" s="305" t="s">
        <v>70</v>
      </c>
      <c r="E50" s="1180"/>
      <c r="F50" s="1019"/>
      <c r="G50" s="53">
        <f>+E50</f>
        <v>0</v>
      </c>
      <c r="H50" s="289">
        <v>1</v>
      </c>
    </row>
    <row r="51" spans="1:8" ht="37.5" customHeight="1" thickBot="1">
      <c r="A51" s="1246" t="s">
        <v>15</v>
      </c>
      <c r="B51" s="1247" t="s">
        <v>16</v>
      </c>
      <c r="C51" s="320">
        <f t="shared" si="0"/>
        <v>44</v>
      </c>
      <c r="D51" s="306" t="s">
        <v>71</v>
      </c>
      <c r="E51" s="1174"/>
      <c r="F51" s="1015"/>
      <c r="G51" s="57">
        <f>+E51</f>
        <v>0</v>
      </c>
      <c r="H51" s="290">
        <v>0.5</v>
      </c>
    </row>
    <row r="52" spans="1:8" ht="37.5" customHeight="1" thickBot="1">
      <c r="A52" s="1246"/>
      <c r="B52" s="1247"/>
      <c r="C52" s="320">
        <f t="shared" si="0"/>
        <v>45</v>
      </c>
      <c r="D52" s="306" t="s">
        <v>72</v>
      </c>
      <c r="E52" s="277">
        <f>+$E$7</f>
        <v>0</v>
      </c>
      <c r="F52" s="404"/>
      <c r="G52" s="168" t="e">
        <f aca="true" t="shared" si="6" ref="G52:G57">IF(E52="","",ROUND(E52/F52,4))</f>
        <v>#DIV/0!</v>
      </c>
      <c r="H52" s="290">
        <v>1</v>
      </c>
    </row>
    <row r="53" spans="1:8" ht="37.5" customHeight="1" thickBot="1">
      <c r="A53" s="1246"/>
      <c r="B53" s="1247"/>
      <c r="C53" s="320">
        <f t="shared" si="0"/>
        <v>46</v>
      </c>
      <c r="D53" s="306" t="s">
        <v>73</v>
      </c>
      <c r="E53" s="403"/>
      <c r="F53" s="404"/>
      <c r="G53" s="168">
        <f t="shared" si="6"/>
      </c>
      <c r="H53" s="290">
        <v>0.5</v>
      </c>
    </row>
    <row r="54" spans="1:8" ht="37.5" customHeight="1" thickBot="1">
      <c r="A54" s="1246"/>
      <c r="B54" s="1247"/>
      <c r="C54" s="320">
        <f t="shared" si="0"/>
        <v>47</v>
      </c>
      <c r="D54" s="306" t="s">
        <v>74</v>
      </c>
      <c r="E54" s="403"/>
      <c r="F54" s="214">
        <f>+$F$52</f>
        <v>0</v>
      </c>
      <c r="G54" s="168">
        <f t="shared" si="6"/>
      </c>
      <c r="H54" s="290">
        <v>1</v>
      </c>
    </row>
    <row r="55" spans="1:8" ht="37.5" customHeight="1" thickBot="1">
      <c r="A55" s="1246" t="s">
        <v>15</v>
      </c>
      <c r="B55" s="1247" t="s">
        <v>16</v>
      </c>
      <c r="C55" s="320">
        <f t="shared" si="0"/>
        <v>48</v>
      </c>
      <c r="D55" s="306" t="s">
        <v>75</v>
      </c>
      <c r="E55" s="403"/>
      <c r="F55" s="214">
        <f>+$F$52+$F$53</f>
        <v>0</v>
      </c>
      <c r="G55" s="169">
        <f t="shared" si="6"/>
      </c>
      <c r="H55" s="290">
        <v>0.5</v>
      </c>
    </row>
    <row r="56" spans="1:8" ht="37.5" customHeight="1" thickBot="1">
      <c r="A56" s="1246"/>
      <c r="B56" s="1247"/>
      <c r="C56" s="320">
        <f t="shared" si="0"/>
        <v>49</v>
      </c>
      <c r="D56" s="306" t="s">
        <v>76</v>
      </c>
      <c r="E56" s="277">
        <f>IF(E10="yes","",+E7-E9)</f>
        <v>0</v>
      </c>
      <c r="F56" s="404"/>
      <c r="G56" s="168" t="e">
        <f t="shared" si="6"/>
        <v>#DIV/0!</v>
      </c>
      <c r="H56" s="290">
        <v>0.5</v>
      </c>
    </row>
    <row r="57" spans="1:8" ht="37.5" customHeight="1" thickBot="1">
      <c r="A57" s="1246"/>
      <c r="B57" s="1247"/>
      <c r="C57" s="320">
        <f t="shared" si="0"/>
        <v>50</v>
      </c>
      <c r="D57" s="306" t="s">
        <v>77</v>
      </c>
      <c r="E57" s="277">
        <f>IF(E56="",$E$7,+$E$7-E56)</f>
        <v>0</v>
      </c>
      <c r="F57" s="404"/>
      <c r="G57" s="168" t="e">
        <f t="shared" si="6"/>
        <v>#DIV/0!</v>
      </c>
      <c r="H57" s="290">
        <v>0.5</v>
      </c>
    </row>
    <row r="58" spans="1:8" ht="37.5" customHeight="1" thickBot="1">
      <c r="A58" s="1246"/>
      <c r="B58" s="1247"/>
      <c r="C58" s="320">
        <f t="shared" si="0"/>
        <v>51</v>
      </c>
      <c r="D58" s="306" t="s">
        <v>78</v>
      </c>
      <c r="E58" s="1174"/>
      <c r="F58" s="1015"/>
      <c r="G58" s="57">
        <f>+E58</f>
        <v>0</v>
      </c>
      <c r="H58" s="290">
        <v>1</v>
      </c>
    </row>
    <row r="59" spans="1:8" ht="37.5" customHeight="1" thickBot="1">
      <c r="A59" s="1246"/>
      <c r="B59" s="1247"/>
      <c r="C59" s="320">
        <f t="shared" si="0"/>
        <v>52</v>
      </c>
      <c r="D59" s="306" t="s">
        <v>79</v>
      </c>
      <c r="E59" s="1174"/>
      <c r="F59" s="1015"/>
      <c r="G59" s="57">
        <f>+E59</f>
        <v>0</v>
      </c>
      <c r="H59" s="290">
        <v>0.5</v>
      </c>
    </row>
    <row r="60" spans="1:8" ht="37.5" customHeight="1" thickBot="1">
      <c r="A60" s="1246"/>
      <c r="B60" s="1247"/>
      <c r="C60" s="320">
        <f t="shared" si="0"/>
        <v>53</v>
      </c>
      <c r="D60" s="306" t="s">
        <v>80</v>
      </c>
      <c r="E60" s="403"/>
      <c r="F60" s="404"/>
      <c r="G60" s="169">
        <f>IF(E60="","",ROUND(E60/F60,4))</f>
      </c>
      <c r="H60" s="290">
        <v>0.5</v>
      </c>
    </row>
    <row r="61" spans="1:8" ht="37.5" customHeight="1" thickBot="1">
      <c r="A61" s="1246"/>
      <c r="B61" s="1247"/>
      <c r="C61" s="320">
        <f t="shared" si="0"/>
        <v>54</v>
      </c>
      <c r="D61" s="306" t="s">
        <v>81</v>
      </c>
      <c r="E61" s="277">
        <f>+$E$26</f>
        <v>0</v>
      </c>
      <c r="F61" s="404"/>
      <c r="G61" s="168" t="e">
        <f>IF(E61="","",ROUND(E61/F61,4))</f>
        <v>#DIV/0!</v>
      </c>
      <c r="H61" s="290">
        <v>0.5</v>
      </c>
    </row>
    <row r="62" spans="1:8" ht="37.5" customHeight="1" thickBot="1">
      <c r="A62" s="1246"/>
      <c r="B62" s="1247"/>
      <c r="C62" s="320">
        <f t="shared" si="0"/>
        <v>55</v>
      </c>
      <c r="D62" s="306" t="s">
        <v>82</v>
      </c>
      <c r="E62" s="1174"/>
      <c r="F62" s="1015"/>
      <c r="G62" s="57">
        <f aca="true" t="shared" si="7" ref="G62:G69">+E62</f>
        <v>0</v>
      </c>
      <c r="H62" s="290">
        <v>0.5</v>
      </c>
    </row>
    <row r="63" spans="1:8" ht="37.5" customHeight="1" thickBot="1">
      <c r="A63" s="1246"/>
      <c r="B63" s="1247"/>
      <c r="C63" s="320">
        <f t="shared" si="0"/>
        <v>56</v>
      </c>
      <c r="D63" s="306" t="s">
        <v>83</v>
      </c>
      <c r="E63" s="1174"/>
      <c r="F63" s="1015"/>
      <c r="G63" s="57">
        <f t="shared" si="7"/>
        <v>0</v>
      </c>
      <c r="H63" s="290">
        <v>0.5</v>
      </c>
    </row>
    <row r="64" spans="1:8" ht="37.5" customHeight="1" thickBot="1">
      <c r="A64" s="1246"/>
      <c r="B64" s="1247"/>
      <c r="C64" s="320">
        <f t="shared" si="0"/>
        <v>57</v>
      </c>
      <c r="D64" s="306" t="s">
        <v>84</v>
      </c>
      <c r="E64" s="1174"/>
      <c r="F64" s="1015"/>
      <c r="G64" s="57">
        <f t="shared" si="7"/>
        <v>0</v>
      </c>
      <c r="H64" s="290">
        <v>1</v>
      </c>
    </row>
    <row r="65" spans="1:8" ht="37.5" customHeight="1" thickBot="1">
      <c r="A65" s="1246"/>
      <c r="B65" s="1247"/>
      <c r="C65" s="320">
        <f t="shared" si="0"/>
        <v>58</v>
      </c>
      <c r="D65" s="306" t="s">
        <v>85</v>
      </c>
      <c r="E65" s="1174"/>
      <c r="F65" s="1015"/>
      <c r="G65" s="57">
        <f t="shared" si="7"/>
        <v>0</v>
      </c>
      <c r="H65" s="290">
        <v>0.5</v>
      </c>
    </row>
    <row r="66" spans="1:8" ht="37.5" customHeight="1" thickBot="1">
      <c r="A66" s="1246" t="s">
        <v>15</v>
      </c>
      <c r="B66" s="1247" t="s">
        <v>16</v>
      </c>
      <c r="C66" s="320">
        <f t="shared" si="0"/>
        <v>59</v>
      </c>
      <c r="D66" s="306" t="s">
        <v>86</v>
      </c>
      <c r="E66" s="1174"/>
      <c r="F66" s="1015"/>
      <c r="G66" s="57">
        <f t="shared" si="7"/>
        <v>0</v>
      </c>
      <c r="H66" s="290">
        <v>0.5</v>
      </c>
    </row>
    <row r="67" spans="1:8" ht="37.5" customHeight="1" thickBot="1">
      <c r="A67" s="1246"/>
      <c r="B67" s="1247"/>
      <c r="C67" s="320">
        <f t="shared" si="0"/>
        <v>60</v>
      </c>
      <c r="D67" s="306" t="s">
        <v>87</v>
      </c>
      <c r="E67" s="1174"/>
      <c r="F67" s="1015"/>
      <c r="G67" s="57">
        <f t="shared" si="7"/>
        <v>0</v>
      </c>
      <c r="H67" s="290">
        <v>0.5</v>
      </c>
    </row>
    <row r="68" spans="1:8" ht="37.5" customHeight="1" thickBot="1">
      <c r="A68" s="1246"/>
      <c r="B68" s="1247"/>
      <c r="C68" s="320">
        <f t="shared" si="0"/>
        <v>61</v>
      </c>
      <c r="D68" s="306" t="s">
        <v>88</v>
      </c>
      <c r="E68" s="1174"/>
      <c r="F68" s="1015"/>
      <c r="G68" s="57">
        <f t="shared" si="7"/>
        <v>0</v>
      </c>
      <c r="H68" s="290">
        <v>0.5</v>
      </c>
    </row>
    <row r="69" spans="1:8" ht="37.5" customHeight="1" thickBot="1">
      <c r="A69" s="1246"/>
      <c r="B69" s="1247"/>
      <c r="C69" s="320">
        <f t="shared" si="0"/>
        <v>62</v>
      </c>
      <c r="D69" s="306" t="s">
        <v>89</v>
      </c>
      <c r="E69" s="1174"/>
      <c r="F69" s="1015"/>
      <c r="G69" s="57">
        <f t="shared" si="7"/>
        <v>0</v>
      </c>
      <c r="H69" s="290">
        <v>0.5</v>
      </c>
    </row>
    <row r="70" spans="1:8" ht="63" customHeight="1" thickBot="1">
      <c r="A70" s="1246"/>
      <c r="B70" s="1247"/>
      <c r="C70" s="320">
        <f t="shared" si="0"/>
        <v>63</v>
      </c>
      <c r="D70" s="306" t="s">
        <v>90</v>
      </c>
      <c r="E70" s="403"/>
      <c r="F70" s="404"/>
      <c r="G70" s="169">
        <f>IF(E70="","",ROUND(E70/F70,4))</f>
      </c>
      <c r="H70" s="290">
        <v>0.5</v>
      </c>
    </row>
    <row r="71" spans="1:8" ht="43.5" customHeight="1" thickBot="1">
      <c r="A71" s="1246"/>
      <c r="B71" s="1247"/>
      <c r="C71" s="320">
        <f t="shared" si="0"/>
        <v>64</v>
      </c>
      <c r="D71" s="306" t="s">
        <v>91</v>
      </c>
      <c r="E71" s="1174"/>
      <c r="F71" s="1015"/>
      <c r="G71" s="57">
        <f>+E71</f>
        <v>0</v>
      </c>
      <c r="H71" s="290">
        <v>0.5</v>
      </c>
    </row>
    <row r="72" spans="1:8" ht="37.5" customHeight="1" thickBot="1">
      <c r="A72" s="1246"/>
      <c r="B72" s="1245" t="s">
        <v>17</v>
      </c>
      <c r="C72" s="321">
        <f t="shared" si="0"/>
        <v>65</v>
      </c>
      <c r="D72" s="307" t="s">
        <v>92</v>
      </c>
      <c r="E72" s="405"/>
      <c r="F72" s="406"/>
      <c r="G72" s="170">
        <f>IF(E72="","",ROUND(E72/F72,4))</f>
      </c>
      <c r="H72" s="291">
        <v>1</v>
      </c>
    </row>
    <row r="73" spans="1:8" ht="58.5" customHeight="1" thickBot="1">
      <c r="A73" s="1246"/>
      <c r="B73" s="1245"/>
      <c r="C73" s="321">
        <f aca="true" t="shared" si="8" ref="C73:C136">1+C72</f>
        <v>66</v>
      </c>
      <c r="D73" s="307" t="s">
        <v>93</v>
      </c>
      <c r="E73" s="405"/>
      <c r="F73" s="406"/>
      <c r="G73" s="170">
        <f>IF(E73="","",ROUND(E73/F73,4))</f>
      </c>
      <c r="H73" s="291">
        <v>1</v>
      </c>
    </row>
    <row r="74" spans="1:8" ht="47.25" customHeight="1" thickBot="1">
      <c r="A74" s="1246"/>
      <c r="B74" s="1245"/>
      <c r="C74" s="321">
        <f t="shared" si="8"/>
        <v>67</v>
      </c>
      <c r="D74" s="307" t="s">
        <v>94</v>
      </c>
      <c r="E74" s="1178"/>
      <c r="F74" s="1016"/>
      <c r="G74" s="59">
        <f>+E74</f>
        <v>0</v>
      </c>
      <c r="H74" s="291">
        <v>0.5</v>
      </c>
    </row>
    <row r="75" spans="1:8" ht="37.5" customHeight="1" thickBot="1">
      <c r="A75" s="1241" t="s">
        <v>18</v>
      </c>
      <c r="B75" s="1244" t="s">
        <v>19</v>
      </c>
      <c r="C75" s="322">
        <f t="shared" si="8"/>
        <v>68</v>
      </c>
      <c r="D75" s="308" t="s">
        <v>95</v>
      </c>
      <c r="E75" s="1170"/>
      <c r="F75" s="1017"/>
      <c r="G75" s="64">
        <f>+E75</f>
        <v>0</v>
      </c>
      <c r="H75" s="292">
        <v>0.5</v>
      </c>
    </row>
    <row r="76" spans="1:8" ht="37.5" customHeight="1" thickBot="1">
      <c r="A76" s="1242"/>
      <c r="B76" s="1244"/>
      <c r="C76" s="322">
        <f t="shared" si="8"/>
        <v>69</v>
      </c>
      <c r="D76" s="308" t="s">
        <v>96</v>
      </c>
      <c r="E76" s="1170"/>
      <c r="F76" s="1017"/>
      <c r="G76" s="64">
        <f>+E76</f>
        <v>0</v>
      </c>
      <c r="H76" s="292">
        <v>0.25</v>
      </c>
    </row>
    <row r="77" spans="1:8" ht="37.5" customHeight="1" thickBot="1">
      <c r="A77" s="1242"/>
      <c r="B77" s="1244"/>
      <c r="C77" s="322">
        <f t="shared" si="8"/>
        <v>70</v>
      </c>
      <c r="D77" s="308" t="s">
        <v>97</v>
      </c>
      <c r="E77" s="1170"/>
      <c r="F77" s="1017"/>
      <c r="G77" s="64">
        <f>+E77</f>
        <v>0</v>
      </c>
      <c r="H77" s="292">
        <v>0.25</v>
      </c>
    </row>
    <row r="78" spans="1:8" ht="48" customHeight="1" thickBot="1">
      <c r="A78" s="1242"/>
      <c r="B78" s="1244"/>
      <c r="C78" s="322">
        <f t="shared" si="8"/>
        <v>71</v>
      </c>
      <c r="D78" s="308" t="s">
        <v>98</v>
      </c>
      <c r="E78" s="399"/>
      <c r="F78" s="400"/>
      <c r="G78" s="171">
        <f>IF(E78="","",ROUND(E78/F78,4))</f>
      </c>
      <c r="H78" s="292">
        <v>0.25</v>
      </c>
    </row>
    <row r="79" spans="1:8" ht="49.5" customHeight="1" thickBot="1">
      <c r="A79" s="1242"/>
      <c r="B79" s="1244"/>
      <c r="C79" s="322">
        <f t="shared" si="8"/>
        <v>72</v>
      </c>
      <c r="D79" s="308" t="s">
        <v>99</v>
      </c>
      <c r="E79" s="399"/>
      <c r="F79" s="215">
        <f>+$E$7</f>
        <v>0</v>
      </c>
      <c r="G79" s="172">
        <f>IF(E79="","",ROUND(E79/F79,4))</f>
      </c>
      <c r="H79" s="292">
        <v>0.5</v>
      </c>
    </row>
    <row r="80" spans="1:8" ht="37.5" customHeight="1" thickBot="1">
      <c r="A80" s="1242"/>
      <c r="B80" s="1244"/>
      <c r="C80" s="322">
        <f t="shared" si="8"/>
        <v>73</v>
      </c>
      <c r="D80" s="308" t="s">
        <v>100</v>
      </c>
      <c r="E80" s="1170"/>
      <c r="F80" s="1017"/>
      <c r="G80" s="64">
        <f>+E80</f>
        <v>0</v>
      </c>
      <c r="H80" s="292">
        <v>0.5</v>
      </c>
    </row>
    <row r="81" spans="1:8" ht="52.5" customHeight="1" thickBot="1">
      <c r="A81" s="1242"/>
      <c r="B81" s="1244"/>
      <c r="C81" s="322">
        <f t="shared" si="8"/>
        <v>74</v>
      </c>
      <c r="D81" s="308" t="s">
        <v>101</v>
      </c>
      <c r="E81" s="399"/>
      <c r="F81" s="215">
        <f>+$E$7</f>
        <v>0</v>
      </c>
      <c r="G81" s="172">
        <f>IF(E81="","",ROUND(E81/(F81/100),4))</f>
      </c>
      <c r="H81" s="292">
        <v>0.25</v>
      </c>
    </row>
    <row r="82" spans="1:8" ht="37.5" customHeight="1" thickBot="1">
      <c r="A82" s="1242"/>
      <c r="B82" s="1244"/>
      <c r="C82" s="322">
        <f t="shared" si="8"/>
        <v>75</v>
      </c>
      <c r="D82" s="308" t="s">
        <v>102</v>
      </c>
      <c r="E82" s="1170"/>
      <c r="F82" s="1017"/>
      <c r="G82" s="64">
        <f>+E82</f>
        <v>0</v>
      </c>
      <c r="H82" s="292">
        <v>0.25</v>
      </c>
    </row>
    <row r="83" spans="1:8" ht="37.5" customHeight="1" thickBot="1">
      <c r="A83" s="1242"/>
      <c r="B83" s="1244"/>
      <c r="C83" s="322">
        <f t="shared" si="8"/>
        <v>76</v>
      </c>
      <c r="D83" s="308" t="s">
        <v>103</v>
      </c>
      <c r="E83" s="1170"/>
      <c r="F83" s="1017"/>
      <c r="G83" s="64">
        <f>+E83</f>
        <v>0</v>
      </c>
      <c r="H83" s="292">
        <v>0.25</v>
      </c>
    </row>
    <row r="84" spans="1:8" ht="37.5" customHeight="1" thickBot="1">
      <c r="A84" s="1243"/>
      <c r="B84" s="1244"/>
      <c r="C84" s="322">
        <f t="shared" si="8"/>
        <v>77</v>
      </c>
      <c r="D84" s="308" t="s">
        <v>104</v>
      </c>
      <c r="E84" s="399"/>
      <c r="F84" s="215">
        <f>+$F$60</f>
        <v>0</v>
      </c>
      <c r="G84" s="172">
        <f>IF(E84="","",ROUND(E84/(F84/1),4))</f>
      </c>
      <c r="H84" s="292">
        <v>0.5</v>
      </c>
    </row>
    <row r="85" spans="1:8" ht="37.5" customHeight="1" thickBot="1">
      <c r="A85" s="1236" t="s">
        <v>18</v>
      </c>
      <c r="B85" s="1238" t="s">
        <v>20</v>
      </c>
      <c r="C85" s="323">
        <f t="shared" si="8"/>
        <v>78</v>
      </c>
      <c r="D85" s="309" t="s">
        <v>105</v>
      </c>
      <c r="E85" s="401"/>
      <c r="F85" s="216">
        <f>+$E$7</f>
        <v>0</v>
      </c>
      <c r="G85" s="173">
        <f>IF(E85="","",ROUND(E85/F85,4))</f>
      </c>
      <c r="H85" s="293">
        <v>0.25</v>
      </c>
    </row>
    <row r="86" spans="1:8" ht="37.5" customHeight="1" thickBot="1">
      <c r="A86" s="1236"/>
      <c r="B86" s="1239"/>
      <c r="C86" s="323">
        <f t="shared" si="8"/>
        <v>79</v>
      </c>
      <c r="D86" s="309" t="s">
        <v>106</v>
      </c>
      <c r="E86" s="1163"/>
      <c r="F86" s="1036"/>
      <c r="G86" s="62">
        <f aca="true" t="shared" si="9" ref="G86:G96">+E86</f>
        <v>0</v>
      </c>
      <c r="H86" s="293">
        <v>0.25</v>
      </c>
    </row>
    <row r="87" spans="1:8" ht="37.5" customHeight="1" thickBot="1">
      <c r="A87" s="1236"/>
      <c r="B87" s="1239"/>
      <c r="C87" s="323">
        <f t="shared" si="8"/>
        <v>80</v>
      </c>
      <c r="D87" s="309" t="s">
        <v>107</v>
      </c>
      <c r="E87" s="1163"/>
      <c r="F87" s="1036"/>
      <c r="G87" s="62">
        <f t="shared" si="9"/>
        <v>0</v>
      </c>
      <c r="H87" s="293">
        <v>0.25</v>
      </c>
    </row>
    <row r="88" spans="1:8" ht="37.5" customHeight="1" thickBot="1">
      <c r="A88" s="1236"/>
      <c r="B88" s="1239"/>
      <c r="C88" s="323">
        <f t="shared" si="8"/>
        <v>81</v>
      </c>
      <c r="D88" s="309" t="s">
        <v>108</v>
      </c>
      <c r="E88" s="1163"/>
      <c r="F88" s="1036"/>
      <c r="G88" s="62">
        <f t="shared" si="9"/>
        <v>0</v>
      </c>
      <c r="H88" s="293">
        <v>0.25</v>
      </c>
    </row>
    <row r="89" spans="1:8" ht="37.5" customHeight="1" thickBot="1">
      <c r="A89" s="1236"/>
      <c r="B89" s="1239"/>
      <c r="C89" s="323">
        <f t="shared" si="8"/>
        <v>82</v>
      </c>
      <c r="D89" s="309" t="s">
        <v>109</v>
      </c>
      <c r="E89" s="1163"/>
      <c r="F89" s="1036"/>
      <c r="G89" s="62">
        <f t="shared" si="9"/>
        <v>0</v>
      </c>
      <c r="H89" s="293">
        <v>0.25</v>
      </c>
    </row>
    <row r="90" spans="1:8" ht="58.5" customHeight="1" thickBot="1">
      <c r="A90" s="1236"/>
      <c r="B90" s="1239"/>
      <c r="C90" s="323">
        <f t="shared" si="8"/>
        <v>83</v>
      </c>
      <c r="D90" s="309" t="s">
        <v>174</v>
      </c>
      <c r="E90" s="1163"/>
      <c r="F90" s="1036"/>
      <c r="G90" s="62">
        <f t="shared" si="9"/>
        <v>0</v>
      </c>
      <c r="H90" s="293">
        <v>0.5</v>
      </c>
    </row>
    <row r="91" spans="1:8" ht="55.5" customHeight="1" thickBot="1">
      <c r="A91" s="1236"/>
      <c r="B91" s="1239"/>
      <c r="C91" s="323">
        <f t="shared" si="8"/>
        <v>84</v>
      </c>
      <c r="D91" s="309" t="s">
        <v>175</v>
      </c>
      <c r="E91" s="1163"/>
      <c r="F91" s="1036"/>
      <c r="G91" s="62">
        <f t="shared" si="9"/>
        <v>0</v>
      </c>
      <c r="H91" s="293">
        <v>0.25</v>
      </c>
    </row>
    <row r="92" spans="1:8" ht="37.5" customHeight="1" thickBot="1">
      <c r="A92" s="1236"/>
      <c r="B92" s="1239"/>
      <c r="C92" s="323">
        <f t="shared" si="8"/>
        <v>85</v>
      </c>
      <c r="D92" s="309" t="s">
        <v>110</v>
      </c>
      <c r="E92" s="1163"/>
      <c r="F92" s="1036"/>
      <c r="G92" s="62">
        <f t="shared" si="9"/>
        <v>0</v>
      </c>
      <c r="H92" s="293">
        <v>0.25</v>
      </c>
    </row>
    <row r="93" spans="1:8" ht="37.5" customHeight="1" thickBot="1">
      <c r="A93" s="1236"/>
      <c r="B93" s="1239"/>
      <c r="C93" s="323">
        <f t="shared" si="8"/>
        <v>86</v>
      </c>
      <c r="D93" s="309" t="s">
        <v>111</v>
      </c>
      <c r="E93" s="1163"/>
      <c r="F93" s="1036"/>
      <c r="G93" s="62">
        <f t="shared" si="9"/>
        <v>0</v>
      </c>
      <c r="H93" s="293">
        <v>0.25</v>
      </c>
    </row>
    <row r="94" spans="1:8" ht="37.5" customHeight="1" thickBot="1">
      <c r="A94" s="1236"/>
      <c r="B94" s="1240"/>
      <c r="C94" s="323">
        <f t="shared" si="8"/>
        <v>87</v>
      </c>
      <c r="D94" s="309" t="s">
        <v>112</v>
      </c>
      <c r="E94" s="1163"/>
      <c r="F94" s="1036"/>
      <c r="G94" s="62">
        <f t="shared" si="9"/>
        <v>0</v>
      </c>
      <c r="H94" s="293">
        <v>0.25</v>
      </c>
    </row>
    <row r="95" spans="1:8" ht="37.5" customHeight="1" thickBot="1">
      <c r="A95" s="1236" t="s">
        <v>18</v>
      </c>
      <c r="B95" s="1237" t="s">
        <v>20</v>
      </c>
      <c r="C95" s="323">
        <f t="shared" si="8"/>
        <v>88</v>
      </c>
      <c r="D95" s="309" t="s">
        <v>113</v>
      </c>
      <c r="E95" s="1163"/>
      <c r="F95" s="1036"/>
      <c r="G95" s="62">
        <f t="shared" si="9"/>
        <v>0</v>
      </c>
      <c r="H95" s="293">
        <v>0.5</v>
      </c>
    </row>
    <row r="96" spans="1:8" ht="37.5" customHeight="1" thickBot="1">
      <c r="A96" s="1236"/>
      <c r="B96" s="1237"/>
      <c r="C96" s="323">
        <f t="shared" si="8"/>
        <v>89</v>
      </c>
      <c r="D96" s="309" t="s">
        <v>114</v>
      </c>
      <c r="E96" s="1163"/>
      <c r="F96" s="1036"/>
      <c r="G96" s="62">
        <f t="shared" si="9"/>
        <v>0</v>
      </c>
      <c r="H96" s="293">
        <v>0.25</v>
      </c>
    </row>
    <row r="97" spans="1:8" ht="37.5" customHeight="1" thickBot="1">
      <c r="A97" s="1236"/>
      <c r="B97" s="1237"/>
      <c r="C97" s="323">
        <f t="shared" si="8"/>
        <v>90</v>
      </c>
      <c r="D97" s="309" t="s">
        <v>115</v>
      </c>
      <c r="E97" s="401"/>
      <c r="F97" s="216">
        <f>+$E$7</f>
        <v>0</v>
      </c>
      <c r="G97" s="173">
        <f>IF(E97="","",ROUND(E97/F97,4))</f>
      </c>
      <c r="H97" s="293">
        <v>0.25</v>
      </c>
    </row>
    <row r="98" spans="1:8" ht="37.5" customHeight="1" thickBot="1">
      <c r="A98" s="1236"/>
      <c r="B98" s="1237"/>
      <c r="C98" s="323">
        <f t="shared" si="8"/>
        <v>91</v>
      </c>
      <c r="D98" s="309" t="s">
        <v>176</v>
      </c>
      <c r="E98" s="1163"/>
      <c r="F98" s="1036"/>
      <c r="G98" s="62">
        <f aca="true" t="shared" si="10" ref="G98:G107">+E98</f>
        <v>0</v>
      </c>
      <c r="H98" s="293">
        <v>0.25</v>
      </c>
    </row>
    <row r="99" spans="1:8" ht="37.5" customHeight="1" thickBot="1">
      <c r="A99" s="1236"/>
      <c r="B99" s="1237"/>
      <c r="C99" s="323">
        <f t="shared" si="8"/>
        <v>92</v>
      </c>
      <c r="D99" s="309" t="s">
        <v>116</v>
      </c>
      <c r="E99" s="1163"/>
      <c r="F99" s="1036"/>
      <c r="G99" s="62">
        <f t="shared" si="10"/>
        <v>0</v>
      </c>
      <c r="H99" s="293">
        <v>0.5</v>
      </c>
    </row>
    <row r="100" spans="1:8" ht="37.5" customHeight="1" thickBot="1">
      <c r="A100" s="1236"/>
      <c r="B100" s="1237"/>
      <c r="C100" s="323">
        <f t="shared" si="8"/>
        <v>93</v>
      </c>
      <c r="D100" s="309" t="s">
        <v>117</v>
      </c>
      <c r="E100" s="1163"/>
      <c r="F100" s="1036"/>
      <c r="G100" s="62">
        <f t="shared" si="10"/>
        <v>0</v>
      </c>
      <c r="H100" s="293">
        <v>0.25</v>
      </c>
    </row>
    <row r="101" spans="1:8" ht="37.5" customHeight="1" thickBot="1">
      <c r="A101" s="1236"/>
      <c r="B101" s="1237"/>
      <c r="C101" s="323">
        <f t="shared" si="8"/>
        <v>94</v>
      </c>
      <c r="D101" s="309" t="s">
        <v>118</v>
      </c>
      <c r="E101" s="1163"/>
      <c r="F101" s="1036"/>
      <c r="G101" s="62">
        <f t="shared" si="10"/>
        <v>0</v>
      </c>
      <c r="H101" s="293">
        <v>0.25</v>
      </c>
    </row>
    <row r="102" spans="1:8" ht="37.5" customHeight="1" thickBot="1">
      <c r="A102" s="1236"/>
      <c r="B102" s="1237"/>
      <c r="C102" s="323">
        <f t="shared" si="8"/>
        <v>95</v>
      </c>
      <c r="D102" s="309" t="s">
        <v>119</v>
      </c>
      <c r="E102" s="1163"/>
      <c r="F102" s="1036"/>
      <c r="G102" s="62">
        <f t="shared" si="10"/>
        <v>0</v>
      </c>
      <c r="H102" s="293">
        <v>0.25</v>
      </c>
    </row>
    <row r="103" spans="1:8" ht="37.5" customHeight="1" thickBot="1">
      <c r="A103" s="1236"/>
      <c r="B103" s="1237"/>
      <c r="C103" s="323">
        <f t="shared" si="8"/>
        <v>96</v>
      </c>
      <c r="D103" s="309" t="s">
        <v>120</v>
      </c>
      <c r="E103" s="1163"/>
      <c r="F103" s="1036"/>
      <c r="G103" s="62">
        <f t="shared" si="10"/>
        <v>0</v>
      </c>
      <c r="H103" s="293">
        <v>0.25</v>
      </c>
    </row>
    <row r="104" spans="1:8" ht="37.5" customHeight="1" thickBot="1">
      <c r="A104" s="1236"/>
      <c r="B104" s="1237"/>
      <c r="C104" s="323">
        <f t="shared" si="8"/>
        <v>97</v>
      </c>
      <c r="D104" s="309" t="s">
        <v>121</v>
      </c>
      <c r="E104" s="1163"/>
      <c r="F104" s="1036"/>
      <c r="G104" s="62">
        <f t="shared" si="10"/>
        <v>0</v>
      </c>
      <c r="H104" s="293">
        <v>0.25</v>
      </c>
    </row>
    <row r="105" spans="1:8" ht="37.5" customHeight="1" thickBot="1">
      <c r="A105" s="1236"/>
      <c r="B105" s="1237"/>
      <c r="C105" s="323">
        <f t="shared" si="8"/>
        <v>98</v>
      </c>
      <c r="D105" s="309" t="s">
        <v>122</v>
      </c>
      <c r="E105" s="1163"/>
      <c r="F105" s="1036"/>
      <c r="G105" s="62">
        <f t="shared" si="10"/>
        <v>0</v>
      </c>
      <c r="H105" s="293">
        <v>0.25</v>
      </c>
    </row>
    <row r="106" spans="1:8" ht="37.5" customHeight="1" thickBot="1">
      <c r="A106" s="1236" t="s">
        <v>18</v>
      </c>
      <c r="B106" s="1237" t="s">
        <v>20</v>
      </c>
      <c r="C106" s="323">
        <f t="shared" si="8"/>
        <v>99</v>
      </c>
      <c r="D106" s="309" t="s">
        <v>123</v>
      </c>
      <c r="E106" s="1163"/>
      <c r="F106" s="1036"/>
      <c r="G106" s="62">
        <f t="shared" si="10"/>
        <v>0</v>
      </c>
      <c r="H106" s="293">
        <v>0.25</v>
      </c>
    </row>
    <row r="107" spans="1:8" ht="37.5" customHeight="1" thickBot="1">
      <c r="A107" s="1236"/>
      <c r="B107" s="1237"/>
      <c r="C107" s="323">
        <f t="shared" si="8"/>
        <v>100</v>
      </c>
      <c r="D107" s="309" t="s">
        <v>124</v>
      </c>
      <c r="E107" s="1163"/>
      <c r="F107" s="1036"/>
      <c r="G107" s="62">
        <f t="shared" si="10"/>
        <v>0</v>
      </c>
      <c r="H107" s="293">
        <v>0.25</v>
      </c>
    </row>
    <row r="108" spans="1:8" ht="37.5" customHeight="1" thickBot="1">
      <c r="A108" s="1234" t="s">
        <v>21</v>
      </c>
      <c r="B108" s="1235" t="s">
        <v>22</v>
      </c>
      <c r="C108" s="378">
        <f t="shared" si="8"/>
        <v>101</v>
      </c>
      <c r="D108" s="379" t="s">
        <v>125</v>
      </c>
      <c r="E108" s="395"/>
      <c r="F108" s="396"/>
      <c r="G108" s="380">
        <f>IF(E108="","",ROUND(E108/F108,4))</f>
      </c>
      <c r="H108" s="382">
        <v>2</v>
      </c>
    </row>
    <row r="109" spans="1:8" ht="37.5" customHeight="1" thickBot="1">
      <c r="A109" s="1234"/>
      <c r="B109" s="1235"/>
      <c r="C109" s="378">
        <f t="shared" si="8"/>
        <v>102</v>
      </c>
      <c r="D109" s="379" t="s">
        <v>126</v>
      </c>
      <c r="E109" s="395"/>
      <c r="F109" s="384">
        <f>+$E$7</f>
        <v>0</v>
      </c>
      <c r="G109" s="385">
        <f>IF(E109="","",ROUND(E109/F109,4))</f>
      </c>
      <c r="H109" s="382">
        <v>2</v>
      </c>
    </row>
    <row r="110" spans="1:8" ht="37.5" customHeight="1" thickBot="1">
      <c r="A110" s="1234"/>
      <c r="B110" s="1235"/>
      <c r="C110" s="378">
        <f t="shared" si="8"/>
        <v>103</v>
      </c>
      <c r="D110" s="379" t="s">
        <v>127</v>
      </c>
      <c r="E110" s="387"/>
      <c r="F110" s="384">
        <f>+$E$7</f>
        <v>0</v>
      </c>
      <c r="G110" s="385">
        <f>IF(E110="","",ROUND(E110/F110,4))</f>
      </c>
      <c r="H110" s="382">
        <v>2</v>
      </c>
    </row>
    <row r="111" spans="1:8" ht="37.5" customHeight="1" thickBot="1">
      <c r="A111" s="1234"/>
      <c r="B111" s="1235"/>
      <c r="C111" s="378">
        <f t="shared" si="8"/>
        <v>104</v>
      </c>
      <c r="D111" s="379" t="s">
        <v>128</v>
      </c>
      <c r="E111" s="1161"/>
      <c r="F111" s="1045"/>
      <c r="G111" s="386">
        <f aca="true" t="shared" si="11" ref="G111:G120">+E111</f>
        <v>0</v>
      </c>
      <c r="H111" s="382">
        <v>2</v>
      </c>
    </row>
    <row r="112" spans="1:8" ht="48.75" customHeight="1" thickBot="1">
      <c r="A112" s="1234"/>
      <c r="B112" s="367" t="s">
        <v>23</v>
      </c>
      <c r="C112" s="368">
        <f t="shared" si="8"/>
        <v>105</v>
      </c>
      <c r="D112" s="369" t="s">
        <v>129</v>
      </c>
      <c r="E112" s="1162"/>
      <c r="F112" s="1046"/>
      <c r="G112" s="370">
        <f t="shared" si="11"/>
        <v>0</v>
      </c>
      <c r="H112" s="365">
        <v>2</v>
      </c>
    </row>
    <row r="113" spans="1:8" ht="41.25" customHeight="1" thickBot="1">
      <c r="A113" s="1229" t="s">
        <v>24</v>
      </c>
      <c r="B113" s="1233" t="s">
        <v>25</v>
      </c>
      <c r="C113" s="324">
        <f t="shared" si="8"/>
        <v>106</v>
      </c>
      <c r="D113" s="310" t="s">
        <v>130</v>
      </c>
      <c r="E113" s="1160"/>
      <c r="F113" s="1035"/>
      <c r="G113" s="121">
        <f t="shared" si="11"/>
        <v>0</v>
      </c>
      <c r="H113" s="294">
        <v>0.5</v>
      </c>
    </row>
    <row r="114" spans="1:8" ht="57" customHeight="1" thickBot="1">
      <c r="A114" s="1229"/>
      <c r="B114" s="1233"/>
      <c r="C114" s="324">
        <f t="shared" si="8"/>
        <v>107</v>
      </c>
      <c r="D114" s="310" t="s">
        <v>131</v>
      </c>
      <c r="E114" s="1160"/>
      <c r="F114" s="1035"/>
      <c r="G114" s="121">
        <f t="shared" si="11"/>
        <v>0</v>
      </c>
      <c r="H114" s="294">
        <v>0.5</v>
      </c>
    </row>
    <row r="115" spans="1:8" ht="37.5" customHeight="1" thickBot="1">
      <c r="A115" s="1229"/>
      <c r="B115" s="1233"/>
      <c r="C115" s="324">
        <f t="shared" si="8"/>
        <v>108</v>
      </c>
      <c r="D115" s="310" t="s">
        <v>132</v>
      </c>
      <c r="E115" s="1160"/>
      <c r="F115" s="1035"/>
      <c r="G115" s="121">
        <f t="shared" si="11"/>
        <v>0</v>
      </c>
      <c r="H115" s="294">
        <v>0.5</v>
      </c>
    </row>
    <row r="116" spans="1:8" ht="37.5" customHeight="1" thickBot="1">
      <c r="A116" s="1229" t="s">
        <v>24</v>
      </c>
      <c r="B116" s="1231" t="s">
        <v>26</v>
      </c>
      <c r="C116" s="325">
        <f t="shared" si="8"/>
        <v>109</v>
      </c>
      <c r="D116" s="311" t="s">
        <v>133</v>
      </c>
      <c r="E116" s="1157"/>
      <c r="F116" s="1042"/>
      <c r="G116" s="66">
        <f t="shared" si="11"/>
        <v>0</v>
      </c>
      <c r="H116" s="295">
        <v>0.5</v>
      </c>
    </row>
    <row r="117" spans="1:8" ht="37.5" customHeight="1" thickBot="1">
      <c r="A117" s="1229"/>
      <c r="B117" s="1231"/>
      <c r="C117" s="325">
        <f t="shared" si="8"/>
        <v>110</v>
      </c>
      <c r="D117" s="311" t="s">
        <v>134</v>
      </c>
      <c r="E117" s="1157"/>
      <c r="F117" s="1042"/>
      <c r="G117" s="66">
        <f t="shared" si="11"/>
        <v>0</v>
      </c>
      <c r="H117" s="295">
        <v>0.5</v>
      </c>
    </row>
    <row r="118" spans="1:8" ht="37.5" customHeight="1" thickBot="1">
      <c r="A118" s="1229"/>
      <c r="B118" s="1231"/>
      <c r="C118" s="325">
        <f t="shared" si="8"/>
        <v>111</v>
      </c>
      <c r="D118" s="311" t="s">
        <v>135</v>
      </c>
      <c r="E118" s="1157"/>
      <c r="F118" s="1042"/>
      <c r="G118" s="66">
        <f t="shared" si="11"/>
        <v>0</v>
      </c>
      <c r="H118" s="295">
        <v>0.5</v>
      </c>
    </row>
    <row r="119" spans="1:8" ht="59.25" customHeight="1" thickBot="1">
      <c r="A119" s="1229"/>
      <c r="B119" s="1231"/>
      <c r="C119" s="325">
        <f t="shared" si="8"/>
        <v>112</v>
      </c>
      <c r="D119" s="311" t="s">
        <v>136</v>
      </c>
      <c r="E119" s="1157"/>
      <c r="F119" s="1042"/>
      <c r="G119" s="66">
        <f t="shared" si="11"/>
        <v>0</v>
      </c>
      <c r="H119" s="295">
        <v>0.5</v>
      </c>
    </row>
    <row r="120" spans="1:8" ht="37.5" customHeight="1" thickBot="1">
      <c r="A120" s="1229"/>
      <c r="B120" s="1231"/>
      <c r="C120" s="325">
        <f t="shared" si="8"/>
        <v>113</v>
      </c>
      <c r="D120" s="311" t="s">
        <v>137</v>
      </c>
      <c r="E120" s="1157"/>
      <c r="F120" s="1042"/>
      <c r="G120" s="66">
        <f t="shared" si="11"/>
        <v>0</v>
      </c>
      <c r="H120" s="295">
        <v>1</v>
      </c>
    </row>
    <row r="121" spans="1:8" ht="37.5" customHeight="1" thickBot="1">
      <c r="A121" s="1229"/>
      <c r="B121" s="1231"/>
      <c r="C121" s="325">
        <f t="shared" si="8"/>
        <v>114</v>
      </c>
      <c r="D121" s="311" t="s">
        <v>138</v>
      </c>
      <c r="E121" s="278"/>
      <c r="F121" s="217">
        <f>+$E$7</f>
        <v>0</v>
      </c>
      <c r="G121" s="174">
        <f>IF(E121="","",ROUND(E121/F121,4))</f>
      </c>
      <c r="H121" s="295">
        <v>0.5</v>
      </c>
    </row>
    <row r="122" spans="1:8" ht="37.5" customHeight="1" thickBot="1">
      <c r="A122" s="1229"/>
      <c r="B122" s="1231"/>
      <c r="C122" s="325">
        <f t="shared" si="8"/>
        <v>115</v>
      </c>
      <c r="D122" s="311" t="s">
        <v>139</v>
      </c>
      <c r="E122" s="1158"/>
      <c r="F122" s="1157"/>
      <c r="G122" s="66">
        <f>+E122</f>
        <v>0</v>
      </c>
      <c r="H122" s="295">
        <v>0.5</v>
      </c>
    </row>
    <row r="123" spans="1:8" ht="37.5" customHeight="1" thickBot="1">
      <c r="A123" s="1229"/>
      <c r="B123" s="1231"/>
      <c r="C123" s="325">
        <f t="shared" si="8"/>
        <v>116</v>
      </c>
      <c r="D123" s="311" t="s">
        <v>140</v>
      </c>
      <c r="E123" s="1158"/>
      <c r="F123" s="1157"/>
      <c r="G123" s="66">
        <f>+E123</f>
        <v>0</v>
      </c>
      <c r="H123" s="295">
        <v>0.5</v>
      </c>
    </row>
    <row r="124" spans="1:8" ht="37.5" customHeight="1" thickBot="1">
      <c r="A124" s="1229"/>
      <c r="B124" s="1230" t="s">
        <v>27</v>
      </c>
      <c r="C124" s="326">
        <f t="shared" si="8"/>
        <v>117</v>
      </c>
      <c r="D124" s="312" t="s">
        <v>188</v>
      </c>
      <c r="E124" s="1159"/>
      <c r="F124" s="1044"/>
      <c r="G124" s="124">
        <f>+E124</f>
        <v>0</v>
      </c>
      <c r="H124" s="296">
        <v>1</v>
      </c>
    </row>
    <row r="125" spans="1:8" ht="37.5" customHeight="1" thickBot="1">
      <c r="A125" s="1229"/>
      <c r="B125" s="1230"/>
      <c r="C125" s="326">
        <f t="shared" si="8"/>
        <v>118</v>
      </c>
      <c r="D125" s="312" t="s">
        <v>141</v>
      </c>
      <c r="E125" s="397"/>
      <c r="F125" s="218">
        <f>+$E$7</f>
        <v>0</v>
      </c>
      <c r="G125" s="175">
        <f>IF(E125="","",ROUND(E125/F125,4))</f>
      </c>
      <c r="H125" s="296">
        <v>0.5</v>
      </c>
    </row>
    <row r="126" spans="1:8" ht="37.5" customHeight="1" thickBot="1">
      <c r="A126" s="1229"/>
      <c r="B126" s="1230"/>
      <c r="C126" s="326">
        <f t="shared" si="8"/>
        <v>119</v>
      </c>
      <c r="D126" s="312" t="s">
        <v>142</v>
      </c>
      <c r="E126" s="397"/>
      <c r="F126" s="218">
        <f>+$E$7</f>
        <v>0</v>
      </c>
      <c r="G126" s="175">
        <f>IF(E126="","",ROUND(E126/F126,4))</f>
      </c>
      <c r="H126" s="296">
        <v>0.5</v>
      </c>
    </row>
    <row r="127" spans="1:8" ht="37.5" customHeight="1" thickBot="1">
      <c r="A127" s="1229" t="s">
        <v>24</v>
      </c>
      <c r="B127" s="1230" t="s">
        <v>27</v>
      </c>
      <c r="C127" s="326">
        <f t="shared" si="8"/>
        <v>120</v>
      </c>
      <c r="D127" s="312" t="s">
        <v>143</v>
      </c>
      <c r="E127" s="397"/>
      <c r="F127" s="218">
        <f>+$E$7</f>
        <v>0</v>
      </c>
      <c r="G127" s="175">
        <f>IF(E127="","",ROUND(E127/F127,4))</f>
      </c>
      <c r="H127" s="296">
        <v>0.5</v>
      </c>
    </row>
    <row r="128" spans="1:8" ht="61.5" customHeight="1" thickBot="1">
      <c r="A128" s="1229"/>
      <c r="B128" s="1230"/>
      <c r="C128" s="326">
        <f t="shared" si="8"/>
        <v>121</v>
      </c>
      <c r="D128" s="312" t="s">
        <v>144</v>
      </c>
      <c r="E128" s="397"/>
      <c r="F128" s="398"/>
      <c r="G128" s="176">
        <f>IF(E128="","",ROUND(E128/(4*F128),4)*100)</f>
      </c>
      <c r="H128" s="296">
        <v>1</v>
      </c>
    </row>
    <row r="129" spans="1:8" ht="37.5" customHeight="1" thickBot="1">
      <c r="A129" s="1229"/>
      <c r="B129" s="1230"/>
      <c r="C129" s="326">
        <f t="shared" si="8"/>
        <v>122</v>
      </c>
      <c r="D129" s="312" t="s">
        <v>145</v>
      </c>
      <c r="E129" s="397"/>
      <c r="F129" s="218">
        <f>+$E$7</f>
        <v>0</v>
      </c>
      <c r="G129" s="175">
        <f>IF(E129="","",ROUND(E129/F129,4))</f>
      </c>
      <c r="H129" s="296">
        <v>0.5</v>
      </c>
    </row>
    <row r="130" spans="1:8" ht="27" customHeight="1" thickBot="1">
      <c r="A130" s="1229"/>
      <c r="B130" s="1230"/>
      <c r="C130" s="326">
        <f t="shared" si="8"/>
        <v>123</v>
      </c>
      <c r="D130" s="312" t="s">
        <v>146</v>
      </c>
      <c r="E130" s="1156"/>
      <c r="F130" s="1043"/>
      <c r="G130" s="123">
        <f>+E130</f>
        <v>0</v>
      </c>
      <c r="H130" s="296">
        <v>1.5</v>
      </c>
    </row>
    <row r="131" spans="1:8" ht="37.5" customHeight="1" thickBot="1">
      <c r="A131" s="1229"/>
      <c r="B131" s="1230"/>
      <c r="C131" s="326">
        <f t="shared" si="8"/>
        <v>124</v>
      </c>
      <c r="D131" s="312" t="s">
        <v>147</v>
      </c>
      <c r="E131" s="397"/>
      <c r="F131" s="397"/>
      <c r="G131" s="175">
        <f>IF(E131="","",ROUND(E131/F131,4))</f>
      </c>
      <c r="H131" s="296">
        <v>0.5</v>
      </c>
    </row>
    <row r="132" spans="1:8" ht="64.5" customHeight="1" thickBot="1">
      <c r="A132" s="1229"/>
      <c r="B132" s="1232" t="s">
        <v>28</v>
      </c>
      <c r="C132" s="327">
        <f t="shared" si="8"/>
        <v>125</v>
      </c>
      <c r="D132" s="313" t="s">
        <v>148</v>
      </c>
      <c r="E132" s="1155"/>
      <c r="F132" s="1041"/>
      <c r="G132" s="122">
        <f aca="true" t="shared" si="12" ref="G132:G137">+E132</f>
        <v>0</v>
      </c>
      <c r="H132" s="297">
        <v>0.5</v>
      </c>
    </row>
    <row r="133" spans="1:8" ht="32.25" customHeight="1" thickBot="1">
      <c r="A133" s="1229"/>
      <c r="B133" s="1232"/>
      <c r="C133" s="327">
        <f t="shared" si="8"/>
        <v>126</v>
      </c>
      <c r="D133" s="313" t="s">
        <v>149</v>
      </c>
      <c r="E133" s="1155"/>
      <c r="F133" s="1041"/>
      <c r="G133" s="122">
        <f t="shared" si="12"/>
        <v>0</v>
      </c>
      <c r="H133" s="297">
        <v>0.5</v>
      </c>
    </row>
    <row r="134" spans="1:8" ht="37.5" customHeight="1" thickBot="1">
      <c r="A134" s="1229"/>
      <c r="B134" s="1232"/>
      <c r="C134" s="327">
        <f t="shared" si="8"/>
        <v>127</v>
      </c>
      <c r="D134" s="313" t="s">
        <v>150</v>
      </c>
      <c r="E134" s="1155"/>
      <c r="F134" s="1041"/>
      <c r="G134" s="122">
        <f t="shared" si="12"/>
        <v>0</v>
      </c>
      <c r="H134" s="297">
        <v>0.5</v>
      </c>
    </row>
    <row r="135" spans="1:8" ht="37.5" customHeight="1" thickBot="1">
      <c r="A135" s="1229"/>
      <c r="B135" s="1232"/>
      <c r="C135" s="327">
        <f t="shared" si="8"/>
        <v>128</v>
      </c>
      <c r="D135" s="313" t="s">
        <v>151</v>
      </c>
      <c r="E135" s="1155"/>
      <c r="F135" s="1041"/>
      <c r="G135" s="122">
        <f t="shared" si="12"/>
        <v>0</v>
      </c>
      <c r="H135" s="297">
        <v>0.5</v>
      </c>
    </row>
    <row r="136" spans="1:8" ht="30.75" customHeight="1" thickBot="1">
      <c r="A136" s="1229"/>
      <c r="B136" s="1232"/>
      <c r="C136" s="327">
        <f t="shared" si="8"/>
        <v>129</v>
      </c>
      <c r="D136" s="313" t="s">
        <v>152</v>
      </c>
      <c r="E136" s="1155"/>
      <c r="F136" s="1041"/>
      <c r="G136" s="122">
        <f t="shared" si="12"/>
        <v>0</v>
      </c>
      <c r="H136" s="297">
        <v>0.5</v>
      </c>
    </row>
    <row r="137" spans="1:8" ht="25.5" customHeight="1" thickBot="1">
      <c r="A137" s="1229"/>
      <c r="B137" s="1232"/>
      <c r="C137" s="327">
        <f>1+C136</f>
        <v>130</v>
      </c>
      <c r="D137" s="313" t="s">
        <v>153</v>
      </c>
      <c r="E137" s="1155"/>
      <c r="F137" s="1041"/>
      <c r="G137" s="122">
        <f t="shared" si="12"/>
        <v>0</v>
      </c>
      <c r="H137" s="297">
        <v>0.5</v>
      </c>
    </row>
    <row r="138" spans="1:8" ht="25.5">
      <c r="A138" s="349"/>
      <c r="B138" s="349"/>
      <c r="C138" s="350"/>
      <c r="D138" s="351"/>
      <c r="E138" s="352"/>
      <c r="F138" s="352"/>
      <c r="G138" s="353"/>
      <c r="H138" s="354"/>
    </row>
    <row r="139" spans="1:8" ht="25.5" hidden="1">
      <c r="A139" s="196"/>
      <c r="B139" s="196"/>
      <c r="C139" s="268"/>
      <c r="D139" s="270"/>
      <c r="E139" s="219"/>
      <c r="F139" s="219"/>
      <c r="G139" s="1"/>
      <c r="H139" s="69"/>
    </row>
    <row r="140" spans="1:8" ht="18.75" hidden="1">
      <c r="A140" s="196"/>
      <c r="B140" s="196"/>
      <c r="C140" s="268"/>
      <c r="D140" s="270"/>
      <c r="E140" s="219"/>
      <c r="F140" s="219"/>
      <c r="G140" s="1"/>
      <c r="H140" s="177"/>
    </row>
    <row r="141" spans="1:8" ht="25.5" hidden="1">
      <c r="A141" s="196"/>
      <c r="B141" s="196"/>
      <c r="C141" s="268"/>
      <c r="D141" s="270"/>
      <c r="E141" s="219"/>
      <c r="F141" s="219"/>
      <c r="G141" s="1"/>
      <c r="H141" s="69"/>
    </row>
    <row r="142" spans="1:8" ht="25.5" hidden="1">
      <c r="A142" s="196"/>
      <c r="B142" s="196"/>
      <c r="C142" s="268"/>
      <c r="D142" s="270"/>
      <c r="E142" s="219"/>
      <c r="F142" s="219"/>
      <c r="G142" s="1"/>
      <c r="H142" s="69"/>
    </row>
    <row r="143" spans="1:8" ht="25.5" hidden="1">
      <c r="A143" s="196"/>
      <c r="B143" s="196"/>
      <c r="C143" s="268"/>
      <c r="D143" s="270"/>
      <c r="E143" s="219"/>
      <c r="F143" s="219"/>
      <c r="G143" s="1"/>
      <c r="H143" s="69"/>
    </row>
    <row r="144" spans="1:8" ht="25.5" hidden="1">
      <c r="A144" s="196"/>
      <c r="B144" s="196"/>
      <c r="C144" s="268"/>
      <c r="D144" s="270"/>
      <c r="E144" s="219"/>
      <c r="F144" s="219"/>
      <c r="G144" s="1"/>
      <c r="H144" s="69"/>
    </row>
    <row r="145" spans="1:8" ht="25.5" hidden="1">
      <c r="A145" s="196"/>
      <c r="B145" s="196"/>
      <c r="C145" s="268"/>
      <c r="D145" s="270"/>
      <c r="E145" s="219"/>
      <c r="F145" s="219"/>
      <c r="G145" s="1"/>
      <c r="H145" s="69"/>
    </row>
    <row r="146" spans="1:8" ht="25.5" hidden="1">
      <c r="A146" s="196"/>
      <c r="B146" s="196"/>
      <c r="C146" s="268"/>
      <c r="D146" s="270"/>
      <c r="E146" s="219"/>
      <c r="F146" s="219"/>
      <c r="G146" s="1"/>
      <c r="H146" s="69"/>
    </row>
    <row r="147" spans="1:8" ht="25.5" hidden="1">
      <c r="A147" s="196"/>
      <c r="B147" s="196"/>
      <c r="C147" s="268"/>
      <c r="D147" s="270"/>
      <c r="E147" s="219"/>
      <c r="F147" s="219"/>
      <c r="G147" s="1"/>
      <c r="H147" s="69"/>
    </row>
    <row r="148" spans="1:8" ht="25.5" hidden="1">
      <c r="A148" s="196"/>
      <c r="B148" s="196"/>
      <c r="C148" s="268"/>
      <c r="D148" s="270"/>
      <c r="E148" s="219"/>
      <c r="F148" s="219"/>
      <c r="G148" s="1"/>
      <c r="H148" s="69"/>
    </row>
    <row r="149" spans="1:8" ht="25.5" hidden="1">
      <c r="A149" s="196"/>
      <c r="B149" s="196"/>
      <c r="C149" s="268"/>
      <c r="D149" s="270"/>
      <c r="E149" s="219"/>
      <c r="F149" s="219"/>
      <c r="G149" s="1"/>
      <c r="H149" s="69"/>
    </row>
    <row r="150" spans="1:8" ht="25.5" hidden="1">
      <c r="A150" s="196"/>
      <c r="B150" s="196"/>
      <c r="C150" s="268"/>
      <c r="D150" s="270"/>
      <c r="E150" s="219"/>
      <c r="F150" s="219"/>
      <c r="G150" s="1"/>
      <c r="H150" s="69"/>
    </row>
    <row r="151" spans="1:8" ht="25.5" hidden="1">
      <c r="A151" s="196"/>
      <c r="B151" s="196"/>
      <c r="C151" s="268"/>
      <c r="D151" s="270"/>
      <c r="E151" s="219"/>
      <c r="F151" s="219"/>
      <c r="G151" s="1"/>
      <c r="H151" s="69"/>
    </row>
    <row r="152" spans="1:8" ht="25.5" hidden="1">
      <c r="A152" s="196"/>
      <c r="B152" s="196"/>
      <c r="C152" s="268"/>
      <c r="D152" s="270"/>
      <c r="E152" s="219"/>
      <c r="F152" s="219"/>
      <c r="G152" s="1"/>
      <c r="H152" s="69"/>
    </row>
    <row r="153" spans="1:8" ht="25.5" hidden="1">
      <c r="A153" s="196"/>
      <c r="B153" s="196"/>
      <c r="C153" s="268"/>
      <c r="D153" s="270"/>
      <c r="E153" s="219"/>
      <c r="F153" s="219"/>
      <c r="G153" s="1"/>
      <c r="H153" s="69"/>
    </row>
    <row r="154" spans="1:8" ht="25.5" hidden="1">
      <c r="A154" s="196"/>
      <c r="B154" s="196"/>
      <c r="C154" s="268"/>
      <c r="D154" s="270"/>
      <c r="E154" s="219"/>
      <c r="F154" s="219"/>
      <c r="G154" s="1"/>
      <c r="H154" s="69"/>
    </row>
    <row r="155" spans="1:8" ht="25.5" hidden="1">
      <c r="A155" s="196"/>
      <c r="B155" s="196"/>
      <c r="C155" s="268"/>
      <c r="D155" s="270"/>
      <c r="E155" s="219"/>
      <c r="F155" s="219"/>
      <c r="G155" s="1"/>
      <c r="H155" s="69"/>
    </row>
    <row r="156" spans="1:8" ht="25.5" hidden="1">
      <c r="A156" s="196"/>
      <c r="B156" s="196"/>
      <c r="C156" s="268"/>
      <c r="D156" s="270"/>
      <c r="E156" s="219"/>
      <c r="F156" s="219"/>
      <c r="G156" s="1"/>
      <c r="H156" s="69"/>
    </row>
    <row r="157" spans="1:8" ht="25.5" hidden="1">
      <c r="A157" s="196"/>
      <c r="B157" s="196"/>
      <c r="C157" s="268"/>
      <c r="D157" s="270"/>
      <c r="E157" s="219"/>
      <c r="F157" s="219"/>
      <c r="G157" s="1"/>
      <c r="H157" s="69"/>
    </row>
    <row r="158" spans="1:8" ht="25.5" hidden="1">
      <c r="A158" s="196"/>
      <c r="B158" s="196"/>
      <c r="C158" s="268"/>
      <c r="D158" s="270"/>
      <c r="E158" s="219"/>
      <c r="F158" s="219"/>
      <c r="G158" s="1"/>
      <c r="H158" s="69"/>
    </row>
    <row r="159" spans="1:8" ht="25.5" hidden="1">
      <c r="A159" s="196"/>
      <c r="B159" s="196"/>
      <c r="C159" s="268"/>
      <c r="D159" s="270"/>
      <c r="E159" s="219"/>
      <c r="F159" s="219"/>
      <c r="G159" s="1"/>
      <c r="H159" s="69"/>
    </row>
    <row r="160" spans="1:8" ht="25.5" hidden="1">
      <c r="A160" s="196"/>
      <c r="B160" s="196"/>
      <c r="C160" s="268"/>
      <c r="D160" s="270"/>
      <c r="E160" s="219"/>
      <c r="F160" s="219"/>
      <c r="G160" s="1"/>
      <c r="H160" s="69"/>
    </row>
    <row r="161" spans="1:8" ht="25.5" hidden="1">
      <c r="A161" s="196"/>
      <c r="B161" s="196"/>
      <c r="C161" s="268"/>
      <c r="D161" s="270"/>
      <c r="E161" s="219"/>
      <c r="F161" s="219"/>
      <c r="G161" s="1"/>
      <c r="H161" s="69"/>
    </row>
    <row r="162" spans="1:8" ht="25.5" hidden="1">
      <c r="A162" s="196"/>
      <c r="B162" s="196"/>
      <c r="C162" s="268"/>
      <c r="D162" s="270"/>
      <c r="E162" s="219"/>
      <c r="F162" s="219"/>
      <c r="G162" s="1"/>
      <c r="H162" s="69"/>
    </row>
    <row r="163" spans="1:8" ht="25.5" hidden="1">
      <c r="A163" s="196"/>
      <c r="B163" s="196"/>
      <c r="C163" s="268"/>
      <c r="D163" s="270"/>
      <c r="E163" s="219"/>
      <c r="F163" s="219"/>
      <c r="G163" s="1"/>
      <c r="H163" s="69"/>
    </row>
    <row r="164" spans="1:8" ht="25.5" hidden="1">
      <c r="A164" s="196"/>
      <c r="B164" s="196"/>
      <c r="C164" s="268"/>
      <c r="D164" s="270"/>
      <c r="E164" s="219"/>
      <c r="F164" s="219"/>
      <c r="G164" s="1"/>
      <c r="H164" s="69"/>
    </row>
    <row r="165" spans="1:8" ht="25.5" hidden="1">
      <c r="A165" s="196"/>
      <c r="B165" s="196"/>
      <c r="C165" s="268"/>
      <c r="D165" s="270"/>
      <c r="E165" s="219"/>
      <c r="F165" s="219"/>
      <c r="G165" s="1"/>
      <c r="H165" s="69"/>
    </row>
    <row r="166" spans="1:8" ht="25.5" hidden="1">
      <c r="A166" s="196"/>
      <c r="B166" s="196"/>
      <c r="C166" s="268"/>
      <c r="D166" s="270"/>
      <c r="E166" s="219"/>
      <c r="F166" s="219"/>
      <c r="G166" s="1"/>
      <c r="H166" s="69"/>
    </row>
    <row r="167" spans="1:8" ht="25.5" hidden="1">
      <c r="A167" s="196"/>
      <c r="B167" s="196"/>
      <c r="C167" s="268"/>
      <c r="D167" s="270"/>
      <c r="E167" s="219"/>
      <c r="F167" s="219"/>
      <c r="G167" s="1"/>
      <c r="H167" s="69"/>
    </row>
    <row r="168" spans="1:8" ht="25.5" hidden="1">
      <c r="A168" s="196"/>
      <c r="B168" s="196"/>
      <c r="C168" s="268"/>
      <c r="D168" s="270"/>
      <c r="E168" s="219"/>
      <c r="F168" s="219"/>
      <c r="G168" s="1"/>
      <c r="H168" s="69"/>
    </row>
    <row r="169" ht="25.5" hidden="1"/>
    <row r="170" ht="25.5" hidden="1"/>
    <row r="171" ht="25.5" hidden="1"/>
    <row r="172" ht="25.5" hidden="1"/>
    <row r="173" ht="25.5" hidden="1"/>
    <row r="174" ht="25.5" hidden="1"/>
    <row r="175" ht="25.5" hidden="1"/>
    <row r="176" ht="25.5" hidden="1"/>
    <row r="177" ht="25.5" hidden="1"/>
    <row r="178" ht="25.5" hidden="1"/>
    <row r="179" ht="25.5" hidden="1"/>
    <row r="180" ht="25.5" hidden="1"/>
    <row r="181" ht="25.5" hidden="1"/>
    <row r="182" ht="25.5" hidden="1"/>
    <row r="183" ht="25.5" hidden="1"/>
    <row r="184" ht="25.5" hidden="1"/>
    <row r="185" ht="25.5" hidden="1"/>
    <row r="186" ht="25.5" hidden="1"/>
  </sheetData>
  <sheetProtection selectLockedCells="1"/>
  <mergeCells count="122">
    <mergeCell ref="H5:H6"/>
    <mergeCell ref="A5:A6"/>
    <mergeCell ref="B5:B6"/>
    <mergeCell ref="C5:C6"/>
    <mergeCell ref="D5:D6"/>
    <mergeCell ref="E5:F6"/>
    <mergeCell ref="G5:G6"/>
    <mergeCell ref="A1:H1"/>
    <mergeCell ref="A2:H2"/>
    <mergeCell ref="A3:H3"/>
    <mergeCell ref="A4:H4"/>
    <mergeCell ref="A7:A17"/>
    <mergeCell ref="B7:B8"/>
    <mergeCell ref="B9:B17"/>
    <mergeCell ref="C9:C10"/>
    <mergeCell ref="H9:H10"/>
    <mergeCell ref="E10:F10"/>
    <mergeCell ref="E22:F22"/>
    <mergeCell ref="E23:F23"/>
    <mergeCell ref="A18:A27"/>
    <mergeCell ref="B18:B19"/>
    <mergeCell ref="B20:B25"/>
    <mergeCell ref="E20:F20"/>
    <mergeCell ref="E21:F21"/>
    <mergeCell ref="B38:B45"/>
    <mergeCell ref="E44:F44"/>
    <mergeCell ref="B35:B37"/>
    <mergeCell ref="B26:B27"/>
    <mergeCell ref="A28:A37"/>
    <mergeCell ref="B28:B34"/>
    <mergeCell ref="E50:F50"/>
    <mergeCell ref="A51:A54"/>
    <mergeCell ref="B51:B54"/>
    <mergeCell ref="E51:F51"/>
    <mergeCell ref="E45:F45"/>
    <mergeCell ref="A46:A50"/>
    <mergeCell ref="B46:B47"/>
    <mergeCell ref="E47:F47"/>
    <mergeCell ref="B48:B50"/>
    <mergeCell ref="A38:A45"/>
    <mergeCell ref="E62:F62"/>
    <mergeCell ref="E63:F63"/>
    <mergeCell ref="E64:F64"/>
    <mergeCell ref="A55:A65"/>
    <mergeCell ref="B55:B65"/>
    <mergeCell ref="E58:F58"/>
    <mergeCell ref="E59:F59"/>
    <mergeCell ref="E65:F65"/>
    <mergeCell ref="A66:A74"/>
    <mergeCell ref="B66:B71"/>
    <mergeCell ref="E66:F66"/>
    <mergeCell ref="E67:F67"/>
    <mergeCell ref="E68:F68"/>
    <mergeCell ref="E75:F75"/>
    <mergeCell ref="E76:F76"/>
    <mergeCell ref="E77:F77"/>
    <mergeCell ref="E69:F69"/>
    <mergeCell ref="E71:F71"/>
    <mergeCell ref="B72:B74"/>
    <mergeCell ref="E74:F74"/>
    <mergeCell ref="A85:A94"/>
    <mergeCell ref="B85:B94"/>
    <mergeCell ref="E86:F86"/>
    <mergeCell ref="E87:F87"/>
    <mergeCell ref="E88:F88"/>
    <mergeCell ref="E80:F80"/>
    <mergeCell ref="E82:F82"/>
    <mergeCell ref="E83:F83"/>
    <mergeCell ref="A75:A84"/>
    <mergeCell ref="B75:B84"/>
    <mergeCell ref="E92:F92"/>
    <mergeCell ref="E93:F93"/>
    <mergeCell ref="E94:F94"/>
    <mergeCell ref="E89:F89"/>
    <mergeCell ref="E90:F90"/>
    <mergeCell ref="E91:F91"/>
    <mergeCell ref="A95:A105"/>
    <mergeCell ref="B95:B105"/>
    <mergeCell ref="E95:F95"/>
    <mergeCell ref="E96:F96"/>
    <mergeCell ref="E98:F98"/>
    <mergeCell ref="E99:F99"/>
    <mergeCell ref="E103:F103"/>
    <mergeCell ref="E104:F104"/>
    <mergeCell ref="E105:F105"/>
    <mergeCell ref="E100:F100"/>
    <mergeCell ref="E101:F101"/>
    <mergeCell ref="E102:F102"/>
    <mergeCell ref="A108:A112"/>
    <mergeCell ref="B108:B111"/>
    <mergeCell ref="E111:F111"/>
    <mergeCell ref="E112:F112"/>
    <mergeCell ref="A106:A107"/>
    <mergeCell ref="B106:B107"/>
    <mergeCell ref="E106:F106"/>
    <mergeCell ref="E107:F107"/>
    <mergeCell ref="E124:F124"/>
    <mergeCell ref="A113:A115"/>
    <mergeCell ref="B113:B115"/>
    <mergeCell ref="E113:F113"/>
    <mergeCell ref="E114:F114"/>
    <mergeCell ref="E115:F115"/>
    <mergeCell ref="E119:F119"/>
    <mergeCell ref="E135:F135"/>
    <mergeCell ref="E136:F136"/>
    <mergeCell ref="E137:F137"/>
    <mergeCell ref="E130:F130"/>
    <mergeCell ref="B132:B137"/>
    <mergeCell ref="E132:F132"/>
    <mergeCell ref="E133:F133"/>
    <mergeCell ref="E134:F134"/>
    <mergeCell ref="B124:B126"/>
    <mergeCell ref="A127:A137"/>
    <mergeCell ref="B127:B131"/>
    <mergeCell ref="E120:F120"/>
    <mergeCell ref="E122:F122"/>
    <mergeCell ref="E123:F123"/>
    <mergeCell ref="A116:A126"/>
    <mergeCell ref="B116:B123"/>
    <mergeCell ref="E116:F116"/>
    <mergeCell ref="E117:F117"/>
    <mergeCell ref="E118:F118"/>
  </mergeCells>
  <conditionalFormatting sqref="F9 F11:F19">
    <cfRule type="cellIs" priority="25" dxfId="139" operator="equal">
      <formula>0</formula>
    </cfRule>
  </conditionalFormatting>
  <conditionalFormatting sqref="F24">
    <cfRule type="cellIs" priority="24" dxfId="140" operator="equal">
      <formula>0</formula>
    </cfRule>
  </conditionalFormatting>
  <conditionalFormatting sqref="E27:F34 F38:F43">
    <cfRule type="cellIs" priority="23" dxfId="141" operator="equal">
      <formula>0</formula>
    </cfRule>
  </conditionalFormatting>
  <conditionalFormatting sqref="F36:F37">
    <cfRule type="cellIs" priority="22" dxfId="154" operator="equal">
      <formula>0</formula>
    </cfRule>
  </conditionalFormatting>
  <conditionalFormatting sqref="E38:F47">
    <cfRule type="cellIs" priority="21" dxfId="142" operator="equal">
      <formula>0</formula>
    </cfRule>
  </conditionalFormatting>
  <conditionalFormatting sqref="E48:F50">
    <cfRule type="cellIs" priority="20" dxfId="134" operator="equal">
      <formula>0</formula>
    </cfRule>
  </conditionalFormatting>
  <conditionalFormatting sqref="E51:F71">
    <cfRule type="cellIs" priority="19" dxfId="143" operator="equal">
      <formula>0</formula>
    </cfRule>
  </conditionalFormatting>
  <conditionalFormatting sqref="E75:F84">
    <cfRule type="cellIs" priority="18" dxfId="144" operator="equal">
      <formula>0</formula>
    </cfRule>
  </conditionalFormatting>
  <conditionalFormatting sqref="E85:F107">
    <cfRule type="cellIs" priority="17" dxfId="145" operator="equal">
      <formula>0</formula>
    </cfRule>
  </conditionalFormatting>
  <conditionalFormatting sqref="F121">
    <cfRule type="cellIs" priority="16" dxfId="138" operator="equal">
      <formula>0</formula>
    </cfRule>
  </conditionalFormatting>
  <conditionalFormatting sqref="E125:F131">
    <cfRule type="cellIs" priority="15" dxfId="146" operator="equal">
      <formula>0</formula>
    </cfRule>
  </conditionalFormatting>
  <conditionalFormatting sqref="F109:F110">
    <cfRule type="cellIs" priority="14" dxfId="147" operator="equal">
      <formula>0</formula>
    </cfRule>
  </conditionalFormatting>
  <conditionalFormatting sqref="F46">
    <cfRule type="cellIs" priority="11" dxfId="149" operator="equal">
      <formula>0</formula>
    </cfRule>
    <cfRule type="cellIs" priority="12" dxfId="141" operator="equal">
      <formula>0</formula>
    </cfRule>
  </conditionalFormatting>
  <conditionalFormatting sqref="F48:F49">
    <cfRule type="cellIs" priority="9" dxfId="150" operator="equal">
      <formula>0</formula>
    </cfRule>
    <cfRule type="cellIs" priority="10" dxfId="141" operator="equal">
      <formula>0</formula>
    </cfRule>
  </conditionalFormatting>
  <conditionalFormatting sqref="F38:F43">
    <cfRule type="cellIs" priority="8" dxfId="149" operator="equal">
      <formula>0</formula>
    </cfRule>
  </conditionalFormatting>
  <dataValidations count="85">
    <dataValidation allowBlank="1" showInputMessage="1" showErrorMessage="1" prompt="Total Strength of Students of UG including SFS papers." sqref="F131"/>
    <dataValidation allowBlank="1" showInputMessage="1" showErrorMessage="1" prompt="Total Number of Admitted Students in UG-3, UG-2, PG-F, PG-P who are eligible for RSLDC courses." sqref="F25"/>
    <dataValidation allowBlank="1" showInputMessage="1" showErrorMessage="1" prompt="Total Applications received for admission in UG-1 and PG-P including SFS" sqref="E8"/>
    <dataValidation allowBlank="1" showInputMessage="1" showErrorMessage="1" prompt="Average  No. of Copies of News Paper Subscribed per month" sqref="E81"/>
    <dataValidation type="list" allowBlank="1" showInputMessage="1" showErrorMessage="1" prompt="NO Pendency, YES Pendency" sqref="E124:F124">
      <formula1>"No Pendency, Yes Pendency"</formula1>
    </dataValidation>
    <dataValidation type="list" allowBlank="1" showInputMessage="1" showErrorMessage="1" prompt="YES or NO" sqref="E10:F10 E51:F51 E58:F59 E63:F67 E69:F69 E71:F71 E74:F77 E82:F82 E86:F87 E92:F94 E96:F96 E98:F107 E120:F120 E122:F123">
      <formula1>"YES,NO"</formula1>
    </dataValidation>
    <dataValidation allowBlank="1" showInputMessage="1" showErrorMessage="1" prompt="Total Toilets for Female Students" sqref="F57"/>
    <dataValidation allowBlank="1" showInputMessage="1" showErrorMessage="1" prompt="Total Toilets for Male Students" sqref="F56"/>
    <dataValidation allowBlank="1" showInputMessage="1" showErrorMessage="1" prompt="Total Regular Students APPEARED in EXAM LAST YEAR" sqref="F35:F37"/>
    <dataValidation allowBlank="1" showInputMessage="1" showErrorMessage="1" prompt="Number of LECTURERS awarded PDF OR D.LIT." sqref="E30"/>
    <dataValidation allowBlank="1" showInputMessage="1" showErrorMessage="1" prompt="Number of LECTURERS with M.Phil. but not PH.D." sqref="E29"/>
    <dataValidation allowBlank="1" showInputMessage="1" showErrorMessage="1" prompt="LECTURER SANCTIONED POSTS" sqref="F26:F27 F31"/>
    <dataValidation type="whole" allowBlank="1" showInputMessage="1" showErrorMessage="1" sqref="E118:F118">
      <formula1>0</formula1>
      <formula2>100000</formula2>
    </dataValidation>
    <dataValidation allowBlank="1" showInputMessage="1" showErrorMessage="1" prompt="Total Expenditure but not Salary during year ending on last 31st March." sqref="E110"/>
    <dataValidation allowBlank="1" showInputMessage="1" showErrorMessage="1" prompt="Total Expenditure in Books, Labs, Furniture, Equipments, IT, Sports articles etc BUT NOT in BUILDING during year ending on last 31st March." sqref="E109"/>
    <dataValidation allowBlank="1" showInputMessage="1" showErrorMessage="1" prompt="Number of Lecturers who are awarded Research Projects from UGC, ICSSR and OTHER RESEARCH FUNDING AGENCY." sqref="E46"/>
    <dataValidation allowBlank="1" showInputMessage="1" showErrorMessage="1" prompt="Number of Lecturers presented 3 and more research papers in national seminars during last 3 years." sqref="E43"/>
    <dataValidation allowBlank="1" showInputMessage="1" showErrorMessage="1" prompt="Number of Lecturers presented 2 and more research papers in international seminars during last 3 years." sqref="E42"/>
    <dataValidation allowBlank="1" showInputMessage="1" showErrorMessage="1" prompt="Number of Lecturers under whom  scholar is awarded Ph.D." sqref="E41"/>
    <dataValidation allowBlank="1" showInputMessage="1" showErrorMessage="1" prompt="Number of Lecturers who are recognised as research supervisor." sqref="E40"/>
    <dataValidation allowBlank="1" showInputMessage="1" showErrorMessage="1" prompt="Number of Lecturers who authored/co-authored at least one book." sqref="E39"/>
    <dataValidation allowBlank="1" showInputMessage="1" showErrorMessage="1" prompt="Number of Lecturers having 5 and more research papers published during last 3 years." sqref="E38"/>
    <dataValidation allowBlank="1" showInputMessage="1" showErrorMessage="1" prompt="Number of Regular Students who GOT 60% AND MORE LAST YEAR." sqref="E36"/>
    <dataValidation allowBlank="1" showInputMessage="1" showErrorMessage="1" prompt="Number of Regular Students who GOT 75% AND MORE LAST YEAR." sqref="E37"/>
    <dataValidation allowBlank="1" showInputMessage="1" showErrorMessage="1" prompt="Number of Regular Students who PASSED Last Year" sqref="E35"/>
    <dataValidation allowBlank="1" showInputMessage="1" showErrorMessage="1" prompt="Number of LECTURERS with PH.D." sqref="E28"/>
    <dataValidation allowBlank="1" showInputMessage="1" showErrorMessage="1" prompt="Number of Lecturers associated with ACADEMIC ASSOCIATION." sqref="E48"/>
    <dataValidation allowBlank="1" showInputMessage="1" showErrorMessage="1" prompt="Number of Lecturers who ATTENDED EVENTS OUTSIDE INDIA." sqref="E49"/>
    <dataValidation allowBlank="1" showInputMessage="1" showErrorMessage="1" prompt="Total Strength of Students having PRACTICAL SUBJECTS" sqref="E53"/>
    <dataValidation allowBlank="1" showInputMessage="1" showErrorMessage="1" prompt="Total Number of  LABS" sqref="F53"/>
    <dataValidation allowBlank="1" showInputMessage="1" showErrorMessage="1" prompt="Total Number of  CLASS ROOMS" sqref="F52"/>
    <dataValidation allowBlank="1" showInputMessage="1" showErrorMessage="1" prompt="Number of Class Rooms and Labs with fans and lights" sqref="E55"/>
    <dataValidation allowBlank="1" showInputMessage="1" showErrorMessage="1" prompt="Total Number of Class Rooms + Labs" sqref="F55"/>
    <dataValidation allowBlank="1" showInputMessage="1" showErrorMessage="1" prompt="Total Strength of BOYS Students including SFS" sqref="E56"/>
    <dataValidation allowBlank="1" showInputMessage="1" showErrorMessage="1" prompt="Number of Department Rooms" sqref="E60"/>
    <dataValidation allowBlank="1" showInputMessage="1" showErrorMessage="1" prompt="Total Number of toils available for faculty members" sqref="F61"/>
    <dataValidation allowBlank="1" showInputMessage="1" showErrorMessage="1" prompt="Total Electricity Generated through Generator/Inverter/Solar panel in the College (KW)" sqref="E70"/>
    <dataValidation allowBlank="1" showInputMessage="1" showErrorMessage="1" prompt="Total Electricity Requirement of the College (KW)" sqref="F70"/>
    <dataValidation allowBlank="1" showInputMessage="1" showErrorMessage="1" prompt="Number of Ministrial Staff working at present including SFS." sqref="E72"/>
    <dataValidation allowBlank="1" showInputMessage="1" showErrorMessage="1" prompt="Number of Suporting Staff working at present including SFS." sqref="E73"/>
    <dataValidation allowBlank="1" showInputMessage="1" showErrorMessage="1" prompt="Total Sanctions Posts of Ministerial Staff including SFS." sqref="F72"/>
    <dataValidation allowBlank="1" showInputMessage="1" showErrorMessage="1" prompt="Total Sanctions Posts of Suporting Staff including SFS." sqref="F73"/>
    <dataValidation allowBlank="1" showInputMessage="1" showErrorMessage="1" prompt="Number of Library Staff working at present." sqref="E78"/>
    <dataValidation allowBlank="1" showInputMessage="1" showErrorMessage="1" prompt="Library staff Sanctioned Posts (TOTAL)." sqref="F78"/>
    <dataValidation allowBlank="1" showInputMessage="1" showErrorMessage="1" prompt="Number of Books in Library (TOTAL)" sqref="E79"/>
    <dataValidation allowBlank="1" showInputMessage="1" showErrorMessage="1" prompt="Number of Subjects (TOTAL)" sqref="F84 F60"/>
    <dataValidation allowBlank="1" showInputMessage="1" showErrorMessage="1" prompt="Number of Subject Journals Subscribed (TOTAL)" sqref="E84"/>
    <dataValidation allowBlank="1" showInputMessage="1" showErrorMessage="1" prompt="Number of Students guided through Counselling Cell" sqref="E85"/>
    <dataValidation allowBlank="1" showInputMessage="1" showErrorMessage="1" prompt="Number of Students utilising IT/ICT Lab Faciliteis." sqref="E97"/>
    <dataValidation allowBlank="1" showInputMessage="1" showErrorMessage="1" prompt="Total Grants Sanctioned." sqref="F108"/>
    <dataValidation allowBlank="1" showInputMessage="1" showErrorMessage="1" prompt="Total Grants Utilised." sqref="E108"/>
    <dataValidation allowBlank="1" showInputMessage="1" showErrorMessage="1" prompt="Number of students participated in Inter House Sport Activities." sqref="E121"/>
    <dataValidation allowBlank="1" showInputMessage="1" showErrorMessage="1" prompt="Number of Students placed throught Employment Fairs." sqref="E125"/>
    <dataValidation allowBlank="1" showInputMessage="1" showErrorMessage="1" prompt="Number of Students who received GK Books." sqref="E126"/>
    <dataValidation allowBlank="1" showInputMessage="1" showErrorMessage="1" prompt="Number of Students who received English Grammer Books." sqref="E127"/>
    <dataValidation allowBlank="1" showInputMessage="1" showErrorMessage="1" prompt="Number of Days" sqref="F128"/>
    <dataValidation allowBlank="1" showInputMessage="1" showErrorMessage="1" prompt="Number of Classes Organised Under Pratiyogita Dakshta Programme" sqref="E128"/>
    <dataValidation allowBlank="1" showInputMessage="1" showErrorMessage="1" prompt="Number of students Appeare in State Level GK Competition" sqref="E129"/>
    <dataValidation allowBlank="1" showInputMessage="1" showErrorMessage="1" prompt="Average Number of students appeared for Monthly Test" sqref="E131"/>
    <dataValidation type="whole" allowBlank="1" showInputMessage="1" showErrorMessage="1" sqref="E112:F112">
      <formula1>0</formula1>
      <formula2>100000000</formula2>
    </dataValidation>
    <dataValidation allowBlank="1" showInputMessage="1" showErrorMessage="1" prompt="Number of LECTURERS who contributed E-content and being used in more than one institution." sqref="E34"/>
    <dataValidation allowBlank="1" showInputMessage="1" showErrorMessage="1" prompt="Content wise teached completed." sqref="E33"/>
    <dataValidation allowBlank="1" showInputMessage="1" showErrorMessage="1" prompt="Total Teaching Content-wise" sqref="F33"/>
    <dataValidation allowBlank="1" showInputMessage="1" showErrorMessage="1" prompt="Lecturers  only REGULAR APPOINTMENT" sqref="E27 F28:F30 F34 F38:F43 F46 F48:F49"/>
    <dataValidation allowBlank="1" showInputMessage="1" showErrorMessage="1" prompt="Lecturers all (SFS+REGULAR+GUEST FACULTY+ADHOC+WORK ARRANGEMENT)" sqref="E26 E61 F32"/>
    <dataValidation allowBlank="1" showInputMessage="1" showErrorMessage="1" prompt="students in SKILL DEVELOPMENT courses" sqref="E25"/>
    <dataValidation allowBlank="1" showInputMessage="1" showErrorMessage="1" prompt="students in VOCATIONAL COURSES" sqref="E24"/>
    <dataValidation allowBlank="1" showInputMessage="1" showErrorMessage="1" prompt="No of BPL Students" sqref="E18"/>
    <dataValidation allowBlank="1" showInputMessage="1" showErrorMessage="1" prompt="No of students with SPECIAL ABILITIES" sqref="E19"/>
    <dataValidation allowBlank="1" showInputMessage="1" showErrorMessage="1" prompt="No of students from OTHER DISTRICTS" sqref="E17"/>
    <dataValidation type="whole" allowBlank="1" showInputMessage="1" showErrorMessage="1" sqref="E20:E23 E113:E117 G111:G119 E44:E45 G130 E132:E137 G132:G137 E130 E111 E95 G95 E88:E91 E80 E83 G68 E62 E50 E47 G44:G45 G20:G23 G80 E68 G83 G62 G50 G47 G88:G91 E119">
      <formula1>0</formula1>
      <formula2>500</formula2>
    </dataValidation>
    <dataValidation type="list" allowBlank="1" showInputMessage="1" showErrorMessage="1" prompt="Whether Girls College ? Yes or No ?" sqref="G124">
      <formula1>"NO PENDENCY,PENDENCY"</formula1>
    </dataValidation>
    <dataValidation type="list" allowBlank="1" showInputMessage="1" showErrorMessage="1" prompt="Whether Girls College ? Yes or No ?" sqref="G58:G59 G122:G123 G10 G51 G98:G107 G63:G67 G69 G71 G86:G87 G82 G74:G77 G92:G94 G96 G120">
      <formula1>"YES,NO"</formula1>
    </dataValidation>
    <dataValidation allowBlank="1" showInputMessage="1" showErrorMessage="1" prompt="No of MINORITIES Students" sqref="E16"/>
    <dataValidation allowBlank="1" showInputMessage="1" showErrorMessage="1" prompt="No of EWS Students" sqref="E15"/>
    <dataValidation allowBlank="1" showInputMessage="1" showErrorMessage="1" prompt="No of MBC Students" sqref="E14"/>
    <dataValidation allowBlank="1" showInputMessage="1" showErrorMessage="1" prompt="No of ST Students" sqref="E12"/>
    <dataValidation allowBlank="1" showInputMessage="1" showErrorMessage="1" prompt="No of SC Students" sqref="E11"/>
    <dataValidation allowBlank="1" showInputMessage="1" showErrorMessage="1" prompt="No of OBC Students" sqref="E13"/>
    <dataValidation allowBlank="1" showInputMessage="1" showErrorMessage="1" prompt="Girls Students number" sqref="E9"/>
    <dataValidation allowBlank="1" showInputMessage="1" showErrorMessage="1" prompt="Actual Student Strength including SFS" sqref="F9 F11:F19"/>
    <dataValidation allowBlank="1" showInputMessage="1" showErrorMessage="1" prompt="Total number of STUDENT FURNITURE available in the college" sqref="E54"/>
    <dataValidation allowBlank="1" showInputMessage="1" showErrorMessage="1" prompt="Total Strength of Students in UG-1 and PG-P including SFS" sqref="F8"/>
    <dataValidation allowBlank="1" showInputMessage="1" showErrorMessage="1" prompt="Total Strength of Students including SFS" sqref="F7 F24 F97 F125:F127 F85 F121 F129 F54 E52 E57 E31:E32"/>
    <dataValidation allowBlank="1" showInputMessage="1" showErrorMessage="1" prompt="Actually Admitted Student Number including SFS" sqref="E7 F79 F81"/>
  </dataValidations>
  <printOptions horizontalCentered="1"/>
  <pageMargins left="0.196850393700787" right="0.196850393700787" top="0.236220472440945" bottom="0.511811023622047" header="0.31496062992126" footer="0.31496062992126"/>
  <pageSetup blackAndWhite="1" horizontalDpi="600" verticalDpi="600" orientation="landscape" paperSize="9" r:id="rId1"/>
  <headerFooter>
    <oddFooter>&amp;CPage No.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PGMODI</dc:creator>
  <cp:keywords/>
  <dc:description/>
  <cp:lastModifiedBy>omprakash</cp:lastModifiedBy>
  <cp:lastPrinted>2020-03-18T10:32:04Z</cp:lastPrinted>
  <dcterms:created xsi:type="dcterms:W3CDTF">2019-09-20T01:09:48Z</dcterms:created>
  <dcterms:modified xsi:type="dcterms:W3CDTF">2020-09-16T05:20:43Z</dcterms:modified>
  <cp:category/>
  <cp:version/>
  <cp:contentType/>
  <cp:contentStatus/>
</cp:coreProperties>
</file>